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835\"/>
    </mc:Choice>
  </mc:AlternateContent>
  <bookViews>
    <workbookView xWindow="0" yWindow="0" windowWidth="28800" windowHeight="12135" tabRatio="500"/>
  </bookViews>
  <sheets>
    <sheet name="В постановление" sheetId="1" r:id="rId1"/>
    <sheet name="Расчет" sheetId="2" r:id="rId2"/>
    <sheet name="Коэффициенты" sheetId="3" r:id="rId3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P23" i="1" l="1"/>
  <c r="O23" i="1"/>
  <c r="N23" i="1"/>
  <c r="H23" i="1"/>
  <c r="N10" i="1" l="1"/>
  <c r="R10" i="1"/>
  <c r="T10" i="1"/>
  <c r="T17" i="1"/>
  <c r="N17" i="1"/>
  <c r="T26" i="1" l="1"/>
  <c r="T25" i="1"/>
  <c r="T23" i="1"/>
  <c r="T22" i="1"/>
  <c r="T21" i="1"/>
  <c r="T14" i="1"/>
  <c r="T12" i="1"/>
  <c r="T9" i="1"/>
  <c r="T8" i="1"/>
  <c r="T7" i="1"/>
  <c r="N26" i="1"/>
  <c r="C8" i="3" l="1"/>
  <c r="I8" i="3" s="1"/>
  <c r="P26" i="1"/>
  <c r="P17" i="1"/>
  <c r="H8" i="3" l="1"/>
  <c r="N22" i="1"/>
  <c r="P27" i="1"/>
  <c r="N27" i="1"/>
  <c r="H12" i="1"/>
  <c r="P22" i="1" l="1"/>
  <c r="H9" i="1"/>
  <c r="G9" i="1"/>
  <c r="H21" i="1"/>
  <c r="G21" i="1"/>
  <c r="H8" i="1" l="1"/>
  <c r="H13" i="1"/>
  <c r="H7" i="1"/>
  <c r="N12" i="1" l="1"/>
  <c r="C7" i="3" l="1"/>
  <c r="H7" i="3" s="1"/>
  <c r="C6" i="3"/>
  <c r="H6" i="3" s="1"/>
  <c r="N25" i="2"/>
  <c r="N24" i="2"/>
  <c r="N26" i="2" s="1"/>
  <c r="O26" i="2" s="1"/>
  <c r="N23" i="2"/>
  <c r="N21" i="2"/>
  <c r="N22" i="2" s="1"/>
  <c r="P19" i="2" s="1"/>
  <c r="N20" i="2"/>
  <c r="N19" i="2"/>
  <c r="N17" i="2"/>
  <c r="N16" i="2"/>
  <c r="N15" i="2"/>
  <c r="N18" i="2" s="1"/>
  <c r="N14" i="2"/>
  <c r="G13" i="2"/>
  <c r="N13" i="2" s="1"/>
  <c r="N12" i="2"/>
  <c r="G12" i="2"/>
  <c r="Q11" i="2"/>
  <c r="N11" i="2"/>
  <c r="N10" i="2"/>
  <c r="N9" i="2"/>
  <c r="N8" i="2"/>
  <c r="N25" i="1"/>
  <c r="T24" i="1"/>
  <c r="N24" i="1"/>
  <c r="S21" i="1"/>
  <c r="N21" i="1"/>
  <c r="S26" i="1"/>
  <c r="N16" i="1"/>
  <c r="N15" i="1"/>
  <c r="N14" i="1"/>
  <c r="N9" i="1"/>
  <c r="N8" i="1"/>
  <c r="N7" i="1"/>
  <c r="P21" i="1" l="1"/>
  <c r="P25" i="1"/>
  <c r="G7" i="3"/>
  <c r="P24" i="1"/>
  <c r="P17" i="2"/>
  <c r="Q14" i="2"/>
  <c r="G6" i="3"/>
</calcChain>
</file>

<file path=xl/comments1.xml><?xml version="1.0" encoding="utf-8"?>
<comments xmlns="http://schemas.openxmlformats.org/spreadsheetml/2006/main">
  <authors>
    <author>&lt;анонимный&gt;</author>
  </authors>
  <commentList>
    <comment ref="D23" authorId="0" shapeId="0">
      <text>
        <r>
          <rPr>
            <sz val="10"/>
            <rFont val="Arial"/>
            <family val="2"/>
            <charset val="204"/>
          </rPr>
          <t>Содержание услуги нет на бас гов</t>
        </r>
      </text>
    </comment>
  </commentList>
</comments>
</file>

<file path=xl/sharedStrings.xml><?xml version="1.0" encoding="utf-8"?>
<sst xmlns="http://schemas.openxmlformats.org/spreadsheetml/2006/main" count="241" uniqueCount="133">
  <si>
    <t>№ п/п</t>
  </si>
  <si>
    <t>Наименование муниципальной  услуги</t>
  </si>
  <si>
    <t>Условие, отражающее содержание услуги</t>
  </si>
  <si>
    <t>Реестровый номер</t>
  </si>
  <si>
    <t>Базовый норматив затрат на оказание услуги 
(выполнение работы) (руб./единицу), в т.ч:</t>
  </si>
  <si>
    <t>Всего</t>
  </si>
  <si>
    <t xml:space="preserve"> непосредственно связанный с оказанием муниципальной услуги</t>
  </si>
  <si>
    <t>на общехозяйственные нужды</t>
  </si>
  <si>
    <t>Объем услуги, работы</t>
  </si>
  <si>
    <t>налог на имущество</t>
  </si>
  <si>
    <t>ПД</t>
  </si>
  <si>
    <t>расчет субсидии по нормативам</t>
  </si>
  <si>
    <t>всего субсидия по лицевому</t>
  </si>
  <si>
    <t>Расчет коэффициентов</t>
  </si>
  <si>
    <t>Проверка</t>
  </si>
  <si>
    <t>Муниципальные услуги</t>
  </si>
  <si>
    <t xml:space="preserve">Организация и проведение мероприятий </t>
  </si>
  <si>
    <t>в стационарных условиях</t>
  </si>
  <si>
    <t>079ЯМ1001000000010001</t>
  </si>
  <si>
    <t>Организация деятельности клубных формирований и формирований самодеятельного народного творчества</t>
  </si>
  <si>
    <t>079КР1001000000010001</t>
  </si>
  <si>
    <t>МУК театр «Стрела</t>
  </si>
  <si>
    <t>Показ (организация показа) спектаклей (театральных постановок)</t>
  </si>
  <si>
    <t>079ЯН1001000000010001</t>
  </si>
  <si>
    <t>число зрителей</t>
  </si>
  <si>
    <t>СТРЕЛА</t>
  </si>
  <si>
    <t>МАУК «ЭМДТеатр»</t>
  </si>
  <si>
    <t>С учетом всех форм 
Стационар ЭМДТ</t>
  </si>
  <si>
    <t>ЭМДТ</t>
  </si>
  <si>
    <t>Публичный показ музейных предметов, музейных коллекций</t>
  </si>
  <si>
    <t>910200О.99.0.ББ69АА00000</t>
  </si>
  <si>
    <t xml:space="preserve">число посетителей </t>
  </si>
  <si>
    <t>МУЗЕЙ</t>
  </si>
  <si>
    <t>910200О.99.0.ББ82АА00000</t>
  </si>
  <si>
    <t>МУК «Жуковская централизованная библиотечная система»</t>
  </si>
  <si>
    <t>Библиотечное, библиографическое и информационное обслуживание пользователей библиотеки</t>
  </si>
  <si>
    <t xml:space="preserve">910100О.99.0.ББ83АА00000 </t>
  </si>
  <si>
    <t>количество посещений</t>
  </si>
  <si>
    <t>ЖЦБС</t>
  </si>
  <si>
    <t>количество клубных формирований</t>
  </si>
  <si>
    <t>ДК</t>
  </si>
  <si>
    <t>количество мероприятий</t>
  </si>
  <si>
    <t>07А1С1001000000030001</t>
  </si>
  <si>
    <t>ПАРК</t>
  </si>
  <si>
    <t>Муниципальные работы</t>
  </si>
  <si>
    <t>Наименование муниципальной работы</t>
  </si>
  <si>
    <t>Условие, отражающее содержание работы</t>
  </si>
  <si>
    <t>Базовый норматив затрат на выполнение работ (руб./единицу), в т.ч:</t>
  </si>
  <si>
    <t xml:space="preserve">непосредств. связанный с выполнением работы </t>
  </si>
  <si>
    <t>коэфициент</t>
  </si>
  <si>
    <t>Создание спектаклей</t>
  </si>
  <si>
    <t xml:space="preserve">С учетом всех форм Стрела
</t>
  </si>
  <si>
    <t>073632010000000030002</t>
  </si>
  <si>
    <t>спектакля</t>
  </si>
  <si>
    <t xml:space="preserve">С учетом всех форм
</t>
  </si>
  <si>
    <t>Формирование, учет, изучение, обеспечение физического сохранения и безопасности музейных предметов, музейных коллекций</t>
  </si>
  <si>
    <t>073752001000000000103</t>
  </si>
  <si>
    <t>количество предметов</t>
  </si>
  <si>
    <t>МУНЗАДАНИЕ</t>
  </si>
  <si>
    <t>Создание концертов и концертных программ</t>
  </si>
  <si>
    <t xml:space="preserve"> С учетом всех форм </t>
  </si>
  <si>
    <t>073762000001000000103</t>
  </si>
  <si>
    <t>концерт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</si>
  <si>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</si>
  <si>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количество документов</t>
  </si>
  <si>
    <t>Содержание парков культуры и отдыха Московской области</t>
  </si>
  <si>
    <t>Регулярно в течение года, согласно графика</t>
  </si>
  <si>
    <t>38А082001000000010001</t>
  </si>
  <si>
    <t>-</t>
  </si>
  <si>
    <t>м2</t>
  </si>
  <si>
    <t>».</t>
  </si>
  <si>
    <t>Приложение №1  к постановлению Администрации  городского округа Жуковский от_______2020г. № __________</t>
  </si>
  <si>
    <t>Значения базовых нормативов затрат на оказание муниципальных услуг и нормативных затрат на выполнение муниципальных работ в сфере культуры на 2021 год</t>
  </si>
  <si>
    <t>Наименование муниципальной работы, услуги</t>
  </si>
  <si>
    <t>Единица измерения</t>
  </si>
  <si>
    <t>затраты на оплату труда работников с начислениями, непосредственно связанными с оказанием муниципальной услуги</t>
  </si>
  <si>
    <t>затраты на коммунальные услуги и содержание недвижимого имущества</t>
  </si>
  <si>
    <t>всего субсидия по соглашению</t>
  </si>
  <si>
    <t>доход</t>
  </si>
  <si>
    <t>С учетом всех форм
Большая форма</t>
  </si>
  <si>
    <t>900200.Р.53.1.03630011000</t>
  </si>
  <si>
    <t xml:space="preserve">единица </t>
  </si>
  <si>
    <t>Музыкальная комедия
Большая форма</t>
  </si>
  <si>
    <t>900200.Р.53.1.03630004000</t>
  </si>
  <si>
    <t>+</t>
  </si>
  <si>
    <t>Показ спектаклей</t>
  </si>
  <si>
    <t>С учетом всех форм 
Стационар</t>
  </si>
  <si>
    <t>900400О.99.0.ББ67АА00002</t>
  </si>
  <si>
    <t xml:space="preserve">МУК ЖСО </t>
  </si>
  <si>
    <t>Концерт оркестра (большие составы)</t>
  </si>
  <si>
    <t>900200.Р.53.1.03760005000</t>
  </si>
  <si>
    <t>Показ (организация показа) концертных программ</t>
  </si>
  <si>
    <t>С учетом всех форм 
Стационар</t>
  </si>
  <si>
    <t>900100О.99.0.ББ68АА00001</t>
  </si>
  <si>
    <t>МУК «Жуковский городской музей»</t>
  </si>
  <si>
    <t>Создание экспозиций (выставок) музеев, организация выездных выставок</t>
  </si>
  <si>
    <t>910000.Р.53.1.04280001000</t>
  </si>
  <si>
    <t>выставка</t>
  </si>
  <si>
    <t xml:space="preserve">910000.Р.53.1.03750001000 </t>
  </si>
  <si>
    <t>С учетом всех форм, в стационарных условиях</t>
  </si>
  <si>
    <t>человек</t>
  </si>
  <si>
    <t>Осуществление экскурсионного обслуживания</t>
  </si>
  <si>
    <t>910000.Р.53.1.04900001000</t>
  </si>
  <si>
    <t>число посетителей</t>
  </si>
  <si>
    <t>Всего по музею</t>
  </si>
  <si>
    <t>МУК «Дворец культуры»</t>
  </si>
  <si>
    <t>949916О.99.0.ББ78АА00000</t>
  </si>
  <si>
    <t>посещений</t>
  </si>
  <si>
    <t>Организация и проведение культурно-массовых мероприятий</t>
  </si>
  <si>
    <t>Культурно-массовых (иные зрелищные мероприятия)</t>
  </si>
  <si>
    <t xml:space="preserve"> 910000.Р.53.1.03800001000 </t>
  </si>
  <si>
    <t>мероприятие</t>
  </si>
  <si>
    <t>Всего по ДК</t>
  </si>
  <si>
    <t>910100О.99.0.ББ83АА00000</t>
  </si>
  <si>
    <t>Библиографическая обработка документов и создание каталогов</t>
  </si>
  <si>
    <t xml:space="preserve">910000.Р.53.1.05060001000 </t>
  </si>
  <si>
    <t xml:space="preserve">910000.Р.53.1.04820001000 </t>
  </si>
  <si>
    <t>№п/п</t>
  </si>
  <si>
    <t>Наименование муниципальной услуги (работы)</t>
  </si>
  <si>
    <t>Базовый норматив затрат на оказание услуги 
(выполнение работы) (руб./единицу)</t>
  </si>
  <si>
    <t>Нормативные затраты
 (руб./единицу)</t>
  </si>
  <si>
    <t>МУК театр «Стрела»</t>
  </si>
  <si>
    <t>079ЯП1001000000010001</t>
  </si>
  <si>
    <t>С учетом всех форм</t>
  </si>
  <si>
    <t xml:space="preserve"> С учетом всех форм (ДК ЖСО)</t>
  </si>
  <si>
    <t>МУК «ДК»</t>
  </si>
  <si>
    <t>Приложение №2  к постановлению Администрации  городского округа Жуковский 
От________________2024 г. № ______________</t>
  </si>
  <si>
    <t>07482201000000010004</t>
  </si>
  <si>
    <t>Базовые нормативы затрат на оказание муниципальных услуг (выполнение  работ) в сфере культуры на 2025 год</t>
  </si>
  <si>
    <t>Корректирующие коэффициенты к базовым нормативам затрат, нормативные затраты на оказание муниципальных услуг (выполнение  работ)  в сфере культуры на 2025 год</t>
  </si>
  <si>
    <t xml:space="preserve"> Корректирующие коэффициента</t>
  </si>
  <si>
    <r>
      <t xml:space="preserve">«Приложение №1  к постановлению 
Администрации  городского округа Жуковский 
</t>
    </r>
    <r>
      <rPr>
        <u/>
        <sz val="11"/>
        <rFont val="Times New Roman"/>
        <family val="1"/>
        <charset val="204"/>
      </rPr>
      <t>От 07.11.2024 г. № 1943</t>
    </r>
  </si>
  <si>
    <t>Приложение к постановлению 
Администрации  городского округа Жуковский 
От 28 ноября 2025 г. № 1835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</si>
</sst>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0000000"/>
    <numFmt numFmtId="165" formatCode="#,##0.000"/>
    <numFmt numFmtId="166" formatCode="0.0000000000"/>
    <numFmt numFmtId="167" formatCode="#,##0.0000000000"/>
    <numFmt numFmtId="168" formatCode="_-* #,##0.0\ _₽_-;\-* #,##0.0\ _₽_-;_-* &quot;-&quot;??\ _₽_-;_-@_-"/>
  </numFmts>
  <fonts count="31">
    <font>
      <sz val="10"/>
      <name val="Arial"/>
      <family val="2"/>
      <charset val="204"/>
    </font>
    <font>
      <sz val="10"/>
      <color rgb="FFFFFFFF"/>
      <name val="Mangal"/>
      <family val="2"/>
      <charset val="204"/>
    </font>
    <font>
      <sz val="10"/>
      <color rgb="FF000000"/>
      <name val="Mangal"/>
      <family val="2"/>
      <charset val="204"/>
    </font>
    <font>
      <sz val="10"/>
      <color rgb="FFCC0000"/>
      <name val="Mangal"/>
      <family val="2"/>
      <charset val="204"/>
    </font>
    <font>
      <sz val="10"/>
      <color rgb="FF808080"/>
      <name val="Mangal"/>
      <family val="2"/>
      <charset val="204"/>
    </font>
    <font>
      <sz val="10"/>
      <color rgb="FF006600"/>
      <name val="Mangal"/>
      <family val="2"/>
      <charset val="204"/>
    </font>
    <font>
      <sz val="10"/>
      <color rgb="FF996600"/>
      <name val="Mangal"/>
      <family val="2"/>
      <charset val="204"/>
    </font>
    <font>
      <sz val="10"/>
      <color rgb="FF333333"/>
      <name val="Mangal"/>
      <family val="2"/>
      <charset val="204"/>
    </font>
    <font>
      <sz val="10"/>
      <name val="Mangal"/>
      <family val="2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color rgb="FFDC143C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color rgb="FFC9211E"/>
      <name val="Times New Roman"/>
      <family val="1"/>
      <charset val="1"/>
    </font>
    <font>
      <b/>
      <sz val="11"/>
      <color rgb="FFC9211E"/>
      <name val="Times New Roman"/>
      <family val="1"/>
      <charset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400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4"/>
      <name val="Arial"/>
      <family val="2"/>
      <charset val="204"/>
    </font>
    <font>
      <i/>
      <sz val="11"/>
      <color rgb="FF7030A0"/>
      <name val="Times New Roman"/>
      <family val="1"/>
      <charset val="1"/>
    </font>
    <font>
      <sz val="10"/>
      <name val="Arial"/>
      <family val="2"/>
      <charset val="204"/>
    </font>
    <font>
      <b/>
      <sz val="11"/>
      <color rgb="FF7030A0"/>
      <name val="Times New Roman"/>
      <family val="1"/>
      <charset val="204"/>
    </font>
    <font>
      <b/>
      <i/>
      <sz val="11"/>
      <color rgb="FF7030A0"/>
      <name val="Times New Roman"/>
      <family val="1"/>
      <charset val="204"/>
    </font>
    <font>
      <u/>
      <sz val="11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70AD47"/>
      </patternFill>
    </fill>
    <fill>
      <patternFill patternType="solid">
        <fgColor rgb="FFDDDDDD"/>
        <bgColor rgb="FFFFEBCD"/>
      </patternFill>
    </fill>
    <fill>
      <patternFill patternType="solid">
        <fgColor rgb="FFFFCCCC"/>
        <bgColor rgb="FFFFC0CB"/>
      </patternFill>
    </fill>
    <fill>
      <patternFill patternType="solid">
        <fgColor rgb="FFCC0000"/>
        <bgColor rgb="FFDC143C"/>
      </patternFill>
    </fill>
    <fill>
      <patternFill patternType="solid">
        <fgColor rgb="FFCCFFCC"/>
        <bgColor rgb="FFE0FFFF"/>
      </patternFill>
    </fill>
    <fill>
      <patternFill patternType="solid">
        <fgColor rgb="FFFFFFCC"/>
        <bgColor rgb="FFFFEBCD"/>
      </patternFill>
    </fill>
    <fill>
      <patternFill patternType="solid">
        <fgColor rgb="FFE0FFFF"/>
        <bgColor rgb="FFFFFFFF"/>
      </patternFill>
    </fill>
    <fill>
      <patternFill patternType="solid">
        <fgColor rgb="FFFFDAB9"/>
        <bgColor rgb="FFFFCCCC"/>
      </patternFill>
    </fill>
    <fill>
      <patternFill patternType="solid">
        <fgColor rgb="FFFFD7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00FA9A"/>
        <bgColor rgb="FF00FF7F"/>
      </patternFill>
    </fill>
    <fill>
      <patternFill patternType="solid">
        <fgColor rgb="FF7B68EE"/>
        <bgColor rgb="FF3366FF"/>
      </patternFill>
    </fill>
    <fill>
      <patternFill patternType="solid">
        <fgColor rgb="FFFFFF00"/>
        <bgColor rgb="FFFFD700"/>
      </patternFill>
    </fill>
    <fill>
      <patternFill patternType="solid">
        <fgColor rgb="FF32CD32"/>
        <bgColor rgb="FF70AD47"/>
      </patternFill>
    </fill>
    <fill>
      <patternFill patternType="solid">
        <fgColor rgb="FFFFC0CB"/>
        <bgColor rgb="FFFFCCCC"/>
      </patternFill>
    </fill>
    <fill>
      <patternFill patternType="solid">
        <fgColor rgb="FFADFF2F"/>
        <bgColor rgb="FFAECF00"/>
      </patternFill>
    </fill>
    <fill>
      <patternFill patternType="solid">
        <fgColor rgb="FF00FF7F"/>
        <bgColor rgb="FF00FA9A"/>
      </patternFill>
    </fill>
    <fill>
      <patternFill patternType="solid">
        <fgColor rgb="FFFFEBCD"/>
        <bgColor rgb="FFFFDAB9"/>
      </patternFill>
    </fill>
    <fill>
      <patternFill patternType="solid">
        <fgColor rgb="FF87CEEB"/>
        <bgColor rgb="FF87CEFA"/>
      </patternFill>
    </fill>
    <fill>
      <patternFill patternType="solid">
        <fgColor rgb="FFA9A9A9"/>
        <bgColor rgb="FFAFD095"/>
      </patternFill>
    </fill>
    <fill>
      <patternFill patternType="solid">
        <fgColor rgb="FF70AD47"/>
        <bgColor rgb="FF99CC00"/>
      </patternFill>
    </fill>
    <fill>
      <patternFill patternType="solid">
        <fgColor rgb="FF87CEFA"/>
        <bgColor rgb="FF83CAFF"/>
      </patternFill>
    </fill>
    <fill>
      <patternFill patternType="solid">
        <fgColor rgb="FF83CAFF"/>
        <bgColor rgb="FF87CEFA"/>
      </patternFill>
    </fill>
    <fill>
      <patternFill patternType="solid">
        <fgColor rgb="FF99CC00"/>
        <bgColor rgb="FFAECF00"/>
      </patternFill>
    </fill>
    <fill>
      <patternFill patternType="solid">
        <fgColor rgb="FFAFD095"/>
        <bgColor rgb="FFA9A9A9"/>
      </patternFill>
    </fill>
    <fill>
      <patternFill patternType="solid">
        <fgColor rgb="FFAECF00"/>
        <bgColor rgb="FF99CC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FF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7CEEB"/>
      </patternFill>
    </fill>
    <fill>
      <patternFill patternType="solid">
        <fgColor rgb="FF00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0000FF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2" fillId="0" borderId="0" applyBorder="0" applyProtection="0"/>
    <xf numFmtId="0" fontId="2" fillId="0" borderId="0" applyBorder="0" applyProtection="0"/>
    <xf numFmtId="0" fontId="6" fillId="8" borderId="0" applyBorder="0" applyProtection="0"/>
    <xf numFmtId="0" fontId="7" fillId="8" borderId="1" applyProtection="0"/>
    <xf numFmtId="0" fontId="8" fillId="0" borderId="0" applyBorder="0" applyProtection="0"/>
    <xf numFmtId="0" fontId="8" fillId="0" borderId="0" applyBorder="0" applyProtection="0"/>
    <xf numFmtId="0" fontId="3" fillId="0" borderId="0" applyBorder="0" applyProtection="0"/>
    <xf numFmtId="43" fontId="27" fillId="0" borderId="0" applyFont="0" applyFill="0" applyBorder="0" applyAlignment="0" applyProtection="0"/>
  </cellStyleXfs>
  <cellXfs count="214">
    <xf numFmtId="0" fontId="0" fillId="0" borderId="0" xfId="0"/>
    <xf numFmtId="0" fontId="9" fillId="0" borderId="0" xfId="0" applyFont="1" applyAlignment="1" applyProtection="1"/>
    <xf numFmtId="0" fontId="0" fillId="0" borderId="0" xfId="0" applyAlignment="1" applyProtection="1"/>
    <xf numFmtId="0" fontId="10" fillId="0" borderId="0" xfId="0" applyFont="1" applyAlignment="1" applyProtection="1"/>
    <xf numFmtId="0" fontId="9" fillId="0" borderId="0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9" borderId="2" xfId="0" applyFont="1" applyFill="1" applyBorder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wrapText="1"/>
    </xf>
    <xf numFmtId="0" fontId="9" fillId="0" borderId="2" xfId="0" applyFont="1" applyBorder="1" applyAlignment="1" applyProtection="1"/>
    <xf numFmtId="0" fontId="9" fillId="0" borderId="2" xfId="0" applyFont="1" applyBorder="1" applyAlignment="1" applyProtection="1">
      <alignment horizontal="center" wrapText="1"/>
    </xf>
    <xf numFmtId="49" fontId="10" fillId="0" borderId="2" xfId="0" applyNumberFormat="1" applyFont="1" applyBorder="1" applyAlignment="1" applyProtection="1">
      <alignment horizontal="center" vertical="center"/>
    </xf>
    <xf numFmtId="4" fontId="13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4" fontId="9" fillId="11" borderId="2" xfId="0" applyNumberFormat="1" applyFont="1" applyFill="1" applyBorder="1" applyAlignment="1" applyProtection="1">
      <alignment horizontal="center" vertical="center" wrapText="1"/>
    </xf>
    <xf numFmtId="4" fontId="9" fillId="11" borderId="0" xfId="0" applyNumberFormat="1" applyFont="1" applyFill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0" fontId="12" fillId="12" borderId="3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/>
    </xf>
    <xf numFmtId="0" fontId="12" fillId="13" borderId="3" xfId="0" applyFont="1" applyFill="1" applyBorder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center" vertical="center"/>
    </xf>
    <xf numFmtId="4" fontId="9" fillId="0" borderId="0" xfId="0" applyNumberFormat="1" applyFont="1" applyAlignment="1" applyProtection="1">
      <alignment horizontal="center" vertical="center"/>
    </xf>
    <xf numFmtId="0" fontId="9" fillId="14" borderId="3" xfId="0" applyFont="1" applyFill="1" applyBorder="1" applyAlignment="1" applyProtection="1">
      <alignment horizontal="center" vertical="center"/>
    </xf>
    <xf numFmtId="165" fontId="9" fillId="0" borderId="0" xfId="0" applyNumberFormat="1" applyFont="1" applyBorder="1" applyAlignment="1" applyProtection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4" fontId="9" fillId="0" borderId="3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/>
    <xf numFmtId="0" fontId="12" fillId="11" borderId="3" xfId="0" applyFont="1" applyFill="1" applyBorder="1" applyAlignment="1" applyProtection="1">
      <alignment horizontal="center" vertical="center"/>
    </xf>
    <xf numFmtId="4" fontId="15" fillId="15" borderId="0" xfId="0" applyNumberFormat="1" applyFont="1" applyFill="1" applyAlignment="1" applyProtection="1">
      <alignment horizontal="center" vertical="center"/>
    </xf>
    <xf numFmtId="4" fontId="15" fillId="16" borderId="0" xfId="0" applyNumberFormat="1" applyFont="1" applyFill="1" applyAlignment="1" applyProtection="1">
      <alignment horizontal="center" vertical="center"/>
    </xf>
    <xf numFmtId="0" fontId="12" fillId="17" borderId="3" xfId="0" applyFont="1" applyFill="1" applyBorder="1" applyAlignment="1" applyProtection="1">
      <alignment horizontal="center" vertical="center"/>
    </xf>
    <xf numFmtId="4" fontId="9" fillId="17" borderId="0" xfId="0" applyNumberFormat="1" applyFont="1" applyFill="1" applyAlignment="1" applyProtection="1"/>
    <xf numFmtId="0" fontId="11" fillId="0" borderId="3" xfId="0" applyFont="1" applyBorder="1" applyAlignment="1" applyProtection="1">
      <alignment horizontal="center" vertical="center"/>
    </xf>
    <xf numFmtId="4" fontId="15" fillId="15" borderId="3" xfId="0" applyNumberFormat="1" applyFont="1" applyFill="1" applyBorder="1" applyAlignment="1" applyProtection="1">
      <alignment horizontal="center" vertical="center"/>
    </xf>
    <xf numFmtId="3" fontId="9" fillId="9" borderId="2" xfId="0" applyNumberFormat="1" applyFont="1" applyFill="1" applyBorder="1" applyAlignment="1" applyProtection="1">
      <alignment horizontal="center" vertical="center"/>
    </xf>
    <xf numFmtId="4" fontId="12" fillId="18" borderId="2" xfId="0" applyNumberFormat="1" applyFont="1" applyFill="1" applyBorder="1" applyAlignment="1" applyProtection="1">
      <alignment horizontal="center" vertical="center"/>
    </xf>
    <xf numFmtId="4" fontId="15" fillId="15" borderId="2" xfId="0" applyNumberFormat="1" applyFont="1" applyFill="1" applyBorder="1" applyAlignment="1" applyProtection="1">
      <alignment horizontal="center" vertical="center"/>
    </xf>
    <xf numFmtId="166" fontId="9" fillId="0" borderId="0" xfId="0" applyNumberFormat="1" applyFont="1" applyAlignment="1" applyProtection="1">
      <alignment horizontal="center" vertical="center"/>
    </xf>
    <xf numFmtId="4" fontId="9" fillId="9" borderId="2" xfId="0" applyNumberFormat="1" applyFont="1" applyFill="1" applyBorder="1" applyAlignment="1" applyProtection="1">
      <alignment horizontal="center" vertical="center"/>
    </xf>
    <xf numFmtId="4" fontId="12" fillId="16" borderId="2" xfId="0" applyNumberFormat="1" applyFont="1" applyFill="1" applyBorder="1" applyAlignment="1" applyProtection="1">
      <alignment horizontal="center" vertical="center"/>
    </xf>
    <xf numFmtId="0" fontId="12" fillId="19" borderId="3" xfId="0" applyFont="1" applyFill="1" applyBorder="1" applyAlignment="1" applyProtection="1">
      <alignment horizontal="center" vertical="center"/>
    </xf>
    <xf numFmtId="4" fontId="9" fillId="19" borderId="0" xfId="0" applyNumberFormat="1" applyFont="1" applyFill="1" applyAlignment="1" applyProtection="1">
      <alignment horizontal="center" vertical="center"/>
    </xf>
    <xf numFmtId="4" fontId="12" fillId="10" borderId="0" xfId="0" applyNumberFormat="1" applyFont="1" applyFill="1" applyAlignment="1" applyProtection="1">
      <alignment horizontal="center" vertical="center"/>
    </xf>
    <xf numFmtId="4" fontId="15" fillId="16" borderId="2" xfId="0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Alignment="1" applyProtection="1">
      <alignment horizontal="center" vertical="center"/>
    </xf>
    <xf numFmtId="4" fontId="9" fillId="14" borderId="0" xfId="0" applyNumberFormat="1" applyFont="1" applyFill="1" applyAlignment="1" applyProtection="1">
      <alignment horizontal="center" vertical="center"/>
    </xf>
    <xf numFmtId="4" fontId="9" fillId="9" borderId="3" xfId="0" applyNumberFormat="1" applyFont="1" applyFill="1" applyBorder="1" applyAlignment="1" applyProtection="1">
      <alignment horizontal="center" vertical="center"/>
    </xf>
    <xf numFmtId="4" fontId="9" fillId="11" borderId="3" xfId="0" applyNumberFormat="1" applyFont="1" applyFill="1" applyBorder="1" applyAlignment="1" applyProtection="1">
      <alignment horizontal="center" vertical="center"/>
    </xf>
    <xf numFmtId="4" fontId="12" fillId="15" borderId="0" xfId="0" applyNumberFormat="1" applyFont="1" applyFill="1" applyAlignment="1" applyProtection="1">
      <alignment horizontal="center" vertical="center"/>
    </xf>
    <xf numFmtId="4" fontId="9" fillId="17" borderId="0" xfId="0" applyNumberFormat="1" applyFont="1" applyFill="1" applyAlignment="1" applyProtection="1">
      <alignment horizontal="center" vertical="center"/>
    </xf>
    <xf numFmtId="0" fontId="12" fillId="17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4" fontId="16" fillId="0" borderId="0" xfId="0" applyNumberFormat="1" applyFont="1" applyAlignment="1" applyProtection="1"/>
    <xf numFmtId="0" fontId="9" fillId="0" borderId="3" xfId="0" applyFont="1" applyBorder="1" applyAlignment="1" applyProtection="1">
      <alignment horizontal="center" vertical="center" wrapText="1"/>
    </xf>
    <xf numFmtId="0" fontId="9" fillId="15" borderId="0" xfId="0" applyFont="1" applyFill="1" applyAlignment="1" applyProtection="1"/>
    <xf numFmtId="0" fontId="17" fillId="0" borderId="3" xfId="0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11" fontId="9" fillId="0" borderId="3" xfId="0" applyNumberFormat="1" applyFont="1" applyBorder="1" applyAlignment="1" applyProtection="1">
      <alignment horizontal="center" vertical="center"/>
    </xf>
    <xf numFmtId="4" fontId="9" fillId="20" borderId="3" xfId="0" applyNumberFormat="1" applyFont="1" applyFill="1" applyBorder="1" applyAlignment="1" applyProtection="1">
      <alignment horizontal="center" vertical="center"/>
    </xf>
    <xf numFmtId="4" fontId="9" fillId="20" borderId="0" xfId="0" applyNumberFormat="1" applyFont="1" applyFill="1" applyBorder="1" applyAlignment="1" applyProtection="1">
      <alignment horizontal="center" vertical="center"/>
    </xf>
    <xf numFmtId="0" fontId="9" fillId="20" borderId="2" xfId="0" applyFont="1" applyFill="1" applyBorder="1" applyAlignment="1" applyProtection="1">
      <alignment horizontal="center" vertical="center"/>
    </xf>
    <xf numFmtId="4" fontId="9" fillId="20" borderId="2" xfId="0" applyNumberFormat="1" applyFont="1" applyFill="1" applyBorder="1" applyAlignment="1" applyProtection="1">
      <alignment horizontal="center" vertical="center"/>
    </xf>
    <xf numFmtId="4" fontId="11" fillId="21" borderId="2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/>
    </xf>
    <xf numFmtId="4" fontId="9" fillId="18" borderId="3" xfId="0" applyNumberFormat="1" applyFont="1" applyFill="1" applyBorder="1" applyAlignment="1" applyProtection="1">
      <alignment horizontal="center" vertical="center" wrapText="1"/>
    </xf>
    <xf numFmtId="4" fontId="9" fillId="18" borderId="3" xfId="0" applyNumberFormat="1" applyFont="1" applyFill="1" applyBorder="1" applyAlignment="1" applyProtection="1">
      <alignment horizontal="center" vertical="center"/>
    </xf>
    <xf numFmtId="4" fontId="9" fillId="18" borderId="0" xfId="0" applyNumberFormat="1" applyFont="1" applyFill="1" applyBorder="1" applyAlignment="1" applyProtection="1">
      <alignment horizontal="center" vertical="center"/>
    </xf>
    <xf numFmtId="4" fontId="9" fillId="18" borderId="2" xfId="0" applyNumberFormat="1" applyFont="1" applyFill="1" applyBorder="1" applyAlignment="1" applyProtection="1">
      <alignment horizontal="center" vertical="center"/>
    </xf>
    <xf numFmtId="4" fontId="11" fillId="18" borderId="2" xfId="0" applyNumberFormat="1" applyFont="1" applyFill="1" applyBorder="1" applyAlignment="1" applyProtection="1">
      <alignment horizontal="center" vertical="center"/>
    </xf>
    <xf numFmtId="0" fontId="9" fillId="22" borderId="3" xfId="0" applyFont="1" applyFill="1" applyBorder="1" applyAlignment="1" applyProtection="1">
      <alignment horizontal="center" vertical="center" wrapText="1"/>
    </xf>
    <xf numFmtId="0" fontId="9" fillId="20" borderId="3" xfId="0" applyFont="1" applyFill="1" applyBorder="1" applyAlignment="1" applyProtection="1">
      <alignment horizontal="center" vertical="center"/>
    </xf>
    <xf numFmtId="0" fontId="9" fillId="20" borderId="0" xfId="0" applyFont="1" applyFill="1" applyBorder="1" applyAlignment="1" applyProtection="1">
      <alignment horizontal="center" vertical="center"/>
    </xf>
    <xf numFmtId="0" fontId="9" fillId="20" borderId="2" xfId="0" applyFont="1" applyFill="1" applyBorder="1" applyAlignment="1" applyProtection="1">
      <alignment horizontal="center" vertical="center" wrapText="1"/>
    </xf>
    <xf numFmtId="0" fontId="11" fillId="20" borderId="2" xfId="0" applyFont="1" applyFill="1" applyBorder="1" applyAlignment="1" applyProtection="1">
      <alignment horizontal="center" vertical="center"/>
    </xf>
    <xf numFmtId="4" fontId="12" fillId="20" borderId="2" xfId="0" applyNumberFormat="1" applyFont="1" applyFill="1" applyBorder="1" applyAlignment="1" applyProtection="1">
      <alignment horizontal="center" vertical="center"/>
    </xf>
    <xf numFmtId="0" fontId="12" fillId="15" borderId="0" xfId="0" applyFont="1" applyFill="1" applyAlignment="1" applyProtection="1">
      <alignment horizontal="center" vertical="center"/>
    </xf>
    <xf numFmtId="2" fontId="9" fillId="18" borderId="3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Border="1" applyAlignment="1" applyProtection="1">
      <alignment horizontal="center" vertical="center"/>
    </xf>
    <xf numFmtId="2" fontId="12" fillId="15" borderId="0" xfId="0" applyNumberFormat="1" applyFont="1" applyFill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center" vertical="center" wrapText="1"/>
    </xf>
    <xf numFmtId="49" fontId="18" fillId="0" borderId="3" xfId="0" applyNumberFormat="1" applyFont="1" applyBorder="1" applyAlignment="1" applyProtection="1">
      <alignment horizontal="center" vertical="center"/>
    </xf>
    <xf numFmtId="4" fontId="18" fillId="0" borderId="3" xfId="0" applyNumberFormat="1" applyFont="1" applyBorder="1" applyAlignment="1" applyProtection="1">
      <alignment horizontal="center" vertical="center"/>
    </xf>
    <xf numFmtId="0" fontId="9" fillId="15" borderId="2" xfId="0" applyFont="1" applyFill="1" applyBorder="1" applyAlignment="1" applyProtection="1">
      <alignment horizontal="center" vertical="center"/>
    </xf>
    <xf numFmtId="4" fontId="9" fillId="23" borderId="2" xfId="0" applyNumberFormat="1" applyFont="1" applyFill="1" applyBorder="1" applyAlignment="1" applyProtection="1">
      <alignment horizontal="center" vertical="center"/>
    </xf>
    <xf numFmtId="4" fontId="11" fillId="23" borderId="2" xfId="0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left" vertical="center" wrapText="1"/>
    </xf>
    <xf numFmtId="0" fontId="19" fillId="0" borderId="3" xfId="0" applyFont="1" applyBorder="1" applyAlignment="1" applyProtection="1">
      <alignment horizontal="center" vertical="center" wrapText="1"/>
    </xf>
    <xf numFmtId="49" fontId="19" fillId="0" borderId="3" xfId="0" applyNumberFormat="1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4" fontId="19" fillId="24" borderId="3" xfId="0" applyNumberFormat="1" applyFont="1" applyFill="1" applyBorder="1" applyAlignment="1" applyProtection="1">
      <alignment horizontal="center" vertical="center"/>
    </xf>
    <xf numFmtId="4" fontId="19" fillId="0" borderId="0" xfId="0" applyNumberFormat="1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4" fontId="19" fillId="24" borderId="2" xfId="0" applyNumberFormat="1" applyFont="1" applyFill="1" applyBorder="1" applyAlignment="1" applyProtection="1">
      <alignment horizontal="center" vertical="center"/>
    </xf>
    <xf numFmtId="4" fontId="20" fillId="25" borderId="2" xfId="0" applyNumberFormat="1" applyFont="1" applyFill="1" applyBorder="1" applyAlignment="1" applyProtection="1">
      <alignment horizontal="center" vertical="center"/>
    </xf>
    <xf numFmtId="4" fontId="19" fillId="0" borderId="2" xfId="0" applyNumberFormat="1" applyFont="1" applyBorder="1" applyAlignment="1" applyProtection="1">
      <alignment horizontal="center" vertical="center"/>
    </xf>
    <xf numFmtId="4" fontId="9" fillId="23" borderId="0" xfId="0" applyNumberFormat="1" applyFont="1" applyFill="1" applyAlignment="1" applyProtection="1"/>
    <xf numFmtId="0" fontId="9" fillId="15" borderId="3" xfId="0" applyFont="1" applyFill="1" applyBorder="1" applyAlignment="1" applyProtection="1">
      <alignment horizontal="left" vertical="center" wrapText="1"/>
    </xf>
    <xf numFmtId="4" fontId="9" fillId="24" borderId="3" xfId="0" applyNumberFormat="1" applyFont="1" applyFill="1" applyBorder="1" applyAlignment="1" applyProtection="1">
      <alignment horizontal="center" vertical="center"/>
    </xf>
    <xf numFmtId="4" fontId="9" fillId="24" borderId="2" xfId="0" applyNumberFormat="1" applyFont="1" applyFill="1" applyBorder="1" applyAlignment="1" applyProtection="1">
      <alignment horizontal="center" vertical="center"/>
    </xf>
    <xf numFmtId="4" fontId="21" fillId="26" borderId="0" xfId="0" applyNumberFormat="1" applyFont="1" applyFill="1" applyAlignment="1" applyProtection="1">
      <alignment horizontal="center" vertical="top"/>
    </xf>
    <xf numFmtId="0" fontId="9" fillId="15" borderId="3" xfId="0" applyFont="1" applyFill="1" applyBorder="1" applyAlignment="1" applyProtection="1">
      <alignment vertical="center" wrapText="1"/>
    </xf>
    <xf numFmtId="0" fontId="19" fillId="0" borderId="3" xfId="0" applyFont="1" applyBorder="1" applyAlignment="1" applyProtection="1">
      <alignment vertical="center" wrapText="1"/>
    </xf>
    <xf numFmtId="0" fontId="19" fillId="24" borderId="3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</xf>
    <xf numFmtId="0" fontId="9" fillId="27" borderId="3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wrapText="1"/>
    </xf>
    <xf numFmtId="0" fontId="9" fillId="27" borderId="0" xfId="0" applyFont="1" applyFill="1" applyBorder="1" applyAlignment="1" applyProtection="1">
      <alignment horizontal="center" vertical="center"/>
    </xf>
    <xf numFmtId="0" fontId="9" fillId="27" borderId="4" xfId="0" applyFont="1" applyFill="1" applyBorder="1" applyAlignment="1" applyProtection="1">
      <alignment horizontal="center" vertical="center"/>
    </xf>
    <xf numFmtId="4" fontId="12" fillId="23" borderId="4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wrapText="1"/>
    </xf>
    <xf numFmtId="4" fontId="11" fillId="25" borderId="3" xfId="0" applyNumberFormat="1" applyFont="1" applyFill="1" applyBorder="1" applyAlignment="1" applyProtection="1">
      <alignment horizontal="center" vertical="center"/>
    </xf>
    <xf numFmtId="4" fontId="23" fillId="0" borderId="0" xfId="0" applyNumberFormat="1" applyFont="1" applyAlignment="1" applyProtection="1">
      <alignment horizontal="center" vertical="center"/>
    </xf>
    <xf numFmtId="0" fontId="22" fillId="0" borderId="3" xfId="0" applyFont="1" applyBorder="1" applyAlignment="1" applyProtection="1">
      <alignment horizontal="left" vertical="center" wrapText="1"/>
    </xf>
    <xf numFmtId="0" fontId="9" fillId="28" borderId="3" xfId="0" applyFont="1" applyFill="1" applyBorder="1" applyAlignment="1" applyProtection="1">
      <alignment wrapText="1"/>
    </xf>
    <xf numFmtId="0" fontId="17" fillId="28" borderId="3" xfId="0" applyFont="1" applyFill="1" applyBorder="1" applyAlignment="1" applyProtection="1">
      <alignment horizontal="center" vertical="center" wrapText="1"/>
    </xf>
    <xf numFmtId="49" fontId="9" fillId="28" borderId="3" xfId="0" applyNumberFormat="1" applyFont="1" applyFill="1" applyBorder="1" applyAlignment="1" applyProtection="1">
      <alignment horizontal="center" vertical="center"/>
    </xf>
    <xf numFmtId="0" fontId="9" fillId="28" borderId="3" xfId="0" applyFont="1" applyFill="1" applyBorder="1" applyAlignment="1" applyProtection="1">
      <alignment horizontal="center" vertical="center"/>
    </xf>
    <xf numFmtId="4" fontId="9" fillId="28" borderId="0" xfId="0" applyNumberFormat="1" applyFont="1" applyFill="1" applyBorder="1" applyAlignment="1" applyProtection="1">
      <alignment horizontal="center" vertical="center"/>
    </xf>
    <xf numFmtId="4" fontId="12" fillId="27" borderId="3" xfId="0" applyNumberFormat="1" applyFont="1" applyFill="1" applyBorder="1" applyAlignment="1" applyProtection="1">
      <alignment horizontal="center" vertical="center"/>
    </xf>
    <xf numFmtId="0" fontId="22" fillId="22" borderId="3" xfId="0" applyFont="1" applyFill="1" applyBorder="1" applyAlignment="1" applyProtection="1">
      <alignment wrapText="1"/>
    </xf>
    <xf numFmtId="0" fontId="17" fillId="22" borderId="3" xfId="0" applyFont="1" applyFill="1" applyBorder="1" applyAlignment="1" applyProtection="1">
      <alignment horizontal="center" vertical="center" wrapText="1"/>
    </xf>
    <xf numFmtId="2" fontId="9" fillId="0" borderId="0" xfId="0" applyNumberFormat="1" applyFont="1" applyBorder="1" applyAlignment="1" applyProtection="1">
      <alignment horizontal="center" vertical="center"/>
    </xf>
    <xf numFmtId="4" fontId="11" fillId="0" borderId="3" xfId="0" applyNumberFormat="1" applyFont="1" applyBorder="1" applyAlignment="1" applyProtection="1">
      <alignment horizontal="center" vertical="center"/>
    </xf>
    <xf numFmtId="4" fontId="12" fillId="15" borderId="0" xfId="0" applyNumberFormat="1" applyFont="1" applyFill="1" applyAlignment="1" applyProtection="1"/>
    <xf numFmtId="4" fontId="9" fillId="0" borderId="0" xfId="0" applyNumberFormat="1" applyFont="1" applyAlignment="1" applyProtection="1"/>
    <xf numFmtId="0" fontId="22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4" fontId="9" fillId="29" borderId="2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2" fillId="30" borderId="0" xfId="0" applyFont="1" applyFill="1" applyAlignment="1" applyProtection="1">
      <alignment horizontal="center" vertical="center"/>
    </xf>
    <xf numFmtId="0" fontId="10" fillId="31" borderId="2" xfId="0" applyFont="1" applyFill="1" applyBorder="1" applyAlignment="1" applyProtection="1">
      <alignment horizontal="left" vertical="center" wrapText="1"/>
    </xf>
    <xf numFmtId="0" fontId="13" fillId="31" borderId="2" xfId="0" applyFont="1" applyFill="1" applyBorder="1" applyAlignment="1" applyProtection="1">
      <alignment horizontal="center" vertical="center" wrapText="1"/>
    </xf>
    <xf numFmtId="49" fontId="10" fillId="31" borderId="2" xfId="0" applyNumberFormat="1" applyFont="1" applyFill="1" applyBorder="1" applyAlignment="1" applyProtection="1">
      <alignment horizontal="center" vertical="center"/>
    </xf>
    <xf numFmtId="4" fontId="13" fillId="31" borderId="2" xfId="0" applyNumberFormat="1" applyFont="1" applyFill="1" applyBorder="1" applyAlignment="1" applyProtection="1">
      <alignment horizontal="center" vertical="center"/>
    </xf>
    <xf numFmtId="0" fontId="14" fillId="31" borderId="2" xfId="0" applyFont="1" applyFill="1" applyBorder="1" applyAlignment="1" applyProtection="1">
      <alignment horizontal="center" vertical="center" wrapText="1"/>
    </xf>
    <xf numFmtId="0" fontId="29" fillId="32" borderId="2" xfId="0" applyFont="1" applyFill="1" applyBorder="1" applyAlignment="1" applyProtection="1">
      <alignment horizontal="center" vertical="center" wrapText="1"/>
    </xf>
    <xf numFmtId="49" fontId="29" fillId="32" borderId="2" xfId="0" applyNumberFormat="1" applyFont="1" applyFill="1" applyBorder="1" applyAlignment="1" applyProtection="1">
      <alignment horizontal="center" vertical="center"/>
    </xf>
    <xf numFmtId="2" fontId="29" fillId="32" borderId="2" xfId="0" applyNumberFormat="1" applyFont="1" applyFill="1" applyBorder="1" applyAlignment="1" applyProtection="1">
      <alignment horizontal="center" vertical="center"/>
    </xf>
    <xf numFmtId="4" fontId="29" fillId="32" borderId="2" xfId="0" applyNumberFormat="1" applyFont="1" applyFill="1" applyBorder="1" applyAlignment="1" applyProtection="1">
      <alignment horizontal="center" vertical="center"/>
    </xf>
    <xf numFmtId="4" fontId="10" fillId="31" borderId="2" xfId="0" applyNumberFormat="1" applyFont="1" applyFill="1" applyBorder="1" applyAlignment="1" applyProtection="1">
      <alignment horizontal="center" vertical="center"/>
    </xf>
    <xf numFmtId="2" fontId="13" fillId="31" borderId="2" xfId="0" applyNumberFormat="1" applyFont="1" applyFill="1" applyBorder="1" applyAlignment="1" applyProtection="1">
      <alignment horizontal="center" vertical="center"/>
    </xf>
    <xf numFmtId="49" fontId="10" fillId="31" borderId="2" xfId="0" applyNumberFormat="1" applyFont="1" applyFill="1" applyBorder="1" applyAlignment="1" applyProtection="1">
      <alignment horizontal="center" vertical="center" wrapText="1"/>
    </xf>
    <xf numFmtId="4" fontId="13" fillId="31" borderId="2" xfId="0" applyNumberFormat="1" applyFont="1" applyFill="1" applyBorder="1" applyAlignment="1" applyProtection="1">
      <alignment horizontal="center" vertical="center" wrapText="1"/>
    </xf>
    <xf numFmtId="0" fontId="28" fillId="31" borderId="2" xfId="0" applyFont="1" applyFill="1" applyBorder="1" applyAlignment="1" applyProtection="1">
      <alignment horizontal="left" vertical="center" wrapText="1"/>
    </xf>
    <xf numFmtId="0" fontId="28" fillId="31" borderId="2" xfId="0" applyFont="1" applyFill="1" applyBorder="1" applyAlignment="1" applyProtection="1">
      <alignment horizontal="center" vertical="center" wrapText="1"/>
    </xf>
    <xf numFmtId="49" fontId="28" fillId="31" borderId="2" xfId="0" applyNumberFormat="1" applyFont="1" applyFill="1" applyBorder="1" applyAlignment="1" applyProtection="1">
      <alignment horizontal="center" vertical="center"/>
    </xf>
    <xf numFmtId="4" fontId="28" fillId="31" borderId="2" xfId="0" applyNumberFormat="1" applyFont="1" applyFill="1" applyBorder="1" applyAlignment="1" applyProtection="1">
      <alignment horizontal="center" vertical="center"/>
    </xf>
    <xf numFmtId="0" fontId="10" fillId="31" borderId="2" xfId="0" applyFont="1" applyFill="1" applyBorder="1" applyAlignment="1" applyProtection="1">
      <alignment horizontal="center" vertical="center" wrapText="1"/>
    </xf>
    <xf numFmtId="167" fontId="9" fillId="0" borderId="0" xfId="0" applyNumberFormat="1" applyFont="1" applyAlignment="1" applyProtection="1"/>
    <xf numFmtId="0" fontId="9" fillId="0" borderId="2" xfId="0" applyFont="1" applyBorder="1" applyAlignment="1" applyProtection="1">
      <alignment vertical="center" wrapText="1"/>
    </xf>
    <xf numFmtId="4" fontId="9" fillId="0" borderId="2" xfId="0" applyNumberFormat="1" applyFont="1" applyBorder="1" applyAlignment="1" applyProtection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/>
    </xf>
    <xf numFmtId="43" fontId="9" fillId="0" borderId="2" xfId="16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26" fillId="31" borderId="2" xfId="0" applyFont="1" applyFill="1" applyBorder="1" applyAlignment="1" applyProtection="1">
      <alignment horizontal="center" vertical="center" wrapText="1"/>
    </xf>
    <xf numFmtId="49" fontId="26" fillId="31" borderId="2" xfId="0" applyNumberFormat="1" applyFont="1" applyFill="1" applyBorder="1" applyAlignment="1" applyProtection="1">
      <alignment horizontal="center" vertical="center" wrapText="1"/>
    </xf>
    <xf numFmtId="4" fontId="26" fillId="31" borderId="2" xfId="0" applyNumberFormat="1" applyFont="1" applyFill="1" applyBorder="1" applyAlignment="1" applyProtection="1">
      <alignment horizontal="center" vertical="center"/>
    </xf>
    <xf numFmtId="43" fontId="9" fillId="35" borderId="0" xfId="16" applyFont="1" applyFill="1" applyAlignment="1" applyProtection="1">
      <alignment horizontal="center" vertical="center"/>
    </xf>
    <xf numFmtId="168" fontId="9" fillId="36" borderId="0" xfId="16" applyNumberFormat="1" applyFont="1" applyFill="1" applyAlignment="1" applyProtection="1">
      <alignment horizontal="center" vertical="center"/>
    </xf>
    <xf numFmtId="0" fontId="15" fillId="37" borderId="3" xfId="0" applyFont="1" applyFill="1" applyBorder="1" applyAlignment="1" applyProtection="1">
      <alignment horizontal="center" vertical="center"/>
    </xf>
    <xf numFmtId="0" fontId="12" fillId="38" borderId="2" xfId="0" applyFont="1" applyFill="1" applyBorder="1" applyAlignment="1" applyProtection="1">
      <alignment horizontal="center" vertical="center" wrapText="1"/>
    </xf>
    <xf numFmtId="4" fontId="9" fillId="17" borderId="0" xfId="0" applyNumberFormat="1" applyFont="1" applyFill="1" applyAlignment="1" applyProtection="1">
      <alignment vertical="center"/>
    </xf>
    <xf numFmtId="4" fontId="9" fillId="39" borderId="0" xfId="0" applyNumberFormat="1" applyFont="1" applyFill="1" applyAlignment="1" applyProtection="1">
      <alignment horizontal="center" vertical="center"/>
    </xf>
    <xf numFmtId="0" fontId="10" fillId="31" borderId="2" xfId="0" applyFont="1" applyFill="1" applyBorder="1" applyAlignment="1" applyProtection="1">
      <alignment horizontal="left" vertical="center" wrapText="1"/>
    </xf>
    <xf numFmtId="0" fontId="10" fillId="31" borderId="2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31" borderId="5" xfId="0" applyFont="1" applyFill="1" applyBorder="1" applyAlignment="1" applyProtection="1">
      <alignment horizontal="left" vertical="center" wrapText="1"/>
    </xf>
    <xf numFmtId="0" fontId="10" fillId="31" borderId="6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center" vertical="center"/>
    </xf>
    <xf numFmtId="4" fontId="9" fillId="33" borderId="0" xfId="0" applyNumberFormat="1" applyFont="1" applyFill="1" applyAlignment="1" applyProtection="1">
      <alignment horizontal="center" vertical="center"/>
    </xf>
    <xf numFmtId="43" fontId="9" fillId="34" borderId="0" xfId="16" applyFont="1" applyFill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horizontal="center" vertical="center"/>
    </xf>
    <xf numFmtId="4" fontId="9" fillId="0" borderId="6" xfId="0" applyNumberFormat="1" applyFont="1" applyBorder="1" applyAlignment="1" applyProtection="1">
      <alignment horizontal="center" vertical="center"/>
    </xf>
    <xf numFmtId="0" fontId="10" fillId="31" borderId="2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22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 wrapText="1"/>
    </xf>
  </cellXfs>
  <cellStyles count="17">
    <cellStyle name="Accent 1 13" xfId="1"/>
    <cellStyle name="Accent 12" xfId="2"/>
    <cellStyle name="Accent 2 14" xfId="3"/>
    <cellStyle name="Accent 3 15" xfId="4"/>
    <cellStyle name="Bad 9" xfId="5"/>
    <cellStyle name="Error 11" xfId="6"/>
    <cellStyle name="Footnote 5" xfId="7"/>
    <cellStyle name="Good 7" xfId="8"/>
    <cellStyle name="Heading 1 1" xfId="9"/>
    <cellStyle name="Heading 2 2" xfId="10"/>
    <cellStyle name="Neutral 8" xfId="11"/>
    <cellStyle name="Note 4" xfId="12"/>
    <cellStyle name="Status 6" xfId="13"/>
    <cellStyle name="Text 3" xfId="14"/>
    <cellStyle name="Warning 10" xfId="15"/>
    <cellStyle name="Обычный" xfId="0" builtinId="0"/>
    <cellStyle name="Финансовый" xfId="16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FF"/>
      <rgbColor rgb="FFFFFF00"/>
      <rgbColor rgb="FFFF00FF"/>
      <rgbColor rgb="FF00FA9A"/>
      <rgbColor rgb="FFCC0000"/>
      <rgbColor rgb="FF006600"/>
      <rgbColor rgb="FF000080"/>
      <rgbColor rgb="FF996600"/>
      <rgbColor rgb="FF800080"/>
      <rgbColor rgb="FF32CD32"/>
      <rgbColor rgb="FFAFD095"/>
      <rgbColor rgb="FF808080"/>
      <rgbColor rgb="FF83CAFF"/>
      <rgbColor rgb="FFDC143C"/>
      <rgbColor rgb="FFFFFFCC"/>
      <rgbColor rgb="FFE0FFFF"/>
      <rgbColor rgb="FF660066"/>
      <rgbColor rgb="FFFF8080"/>
      <rgbColor rgb="FF0066CC"/>
      <rgbColor rgb="FFDDDDDD"/>
      <rgbColor rgb="FF000080"/>
      <rgbColor rgb="FFFF00FF"/>
      <rgbColor rgb="FFADFF2F"/>
      <rgbColor rgb="FF00FFFF"/>
      <rgbColor rgb="FF800080"/>
      <rgbColor rgb="FF800000"/>
      <rgbColor rgb="FF008080"/>
      <rgbColor rgb="FF0000FF"/>
      <rgbColor rgb="FF00CCFF"/>
      <rgbColor rgb="FF7FFFD4"/>
      <rgbColor rgb="FFCCFFCC"/>
      <rgbColor rgb="FFFFEBCD"/>
      <rgbColor rgb="FF87CEFA"/>
      <rgbColor rgb="FFFFC0CB"/>
      <rgbColor rgb="FFFFCCCC"/>
      <rgbColor rgb="FFFFDAB9"/>
      <rgbColor rgb="FF3366FF"/>
      <rgbColor rgb="FF87CEEB"/>
      <rgbColor rgb="FF99CC00"/>
      <rgbColor rgb="FFFFD700"/>
      <rgbColor rgb="FFAECF00"/>
      <rgbColor rgb="FFFF4000"/>
      <rgbColor rgb="FF7B68EE"/>
      <rgbColor rgb="FFA9A9A9"/>
      <rgbColor rgb="FF003366"/>
      <rgbColor rgb="FF70AD47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66FF"/>
      <color rgb="FF99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L36"/>
  <sheetViews>
    <sheetView tabSelected="1" view="pageBreakPreview" topLeftCell="D1" zoomScale="83" zoomScaleNormal="83" zoomScaleSheetLayoutView="83" zoomScalePageLayoutView="75" workbookViewId="0">
      <selection activeCell="E1" sqref="E1"/>
    </sheetView>
  </sheetViews>
  <sheetFormatPr defaultColWidth="11.7109375" defaultRowHeight="12.75"/>
  <cols>
    <col min="1" max="1" width="11.7109375" style="1"/>
    <col min="2" max="2" width="24.42578125" style="1" hidden="1" customWidth="1"/>
    <col min="3" max="3" width="33.7109375" style="1" customWidth="1"/>
    <col min="4" max="4" width="19.85546875" style="1" customWidth="1"/>
    <col min="5" max="5" width="28.5703125" style="1" customWidth="1"/>
    <col min="6" max="7" width="16.85546875" style="1" customWidth="1"/>
    <col min="8" max="8" width="16.5703125" style="1" customWidth="1"/>
    <col min="9" max="12" width="0" style="1" hidden="1" customWidth="1"/>
    <col min="13" max="14" width="16.28515625" style="1" hidden="1" customWidth="1"/>
    <col min="15" max="15" width="14.7109375" style="1" hidden="1" customWidth="1"/>
    <col min="16" max="16" width="15.7109375" style="1" hidden="1" customWidth="1"/>
    <col min="17" max="17" width="13.7109375" style="1" hidden="1" customWidth="1"/>
    <col min="18" max="18" width="18.42578125" style="1" hidden="1" customWidth="1"/>
    <col min="19" max="19" width="14.28515625" style="1" hidden="1" customWidth="1"/>
    <col min="20" max="20" width="14.5703125" style="1" hidden="1" customWidth="1"/>
    <col min="21" max="1024" width="11.7109375" style="1"/>
    <col min="1025" max="1026" width="11.5703125" style="2" customWidth="1"/>
  </cols>
  <sheetData>
    <row r="1" spans="1:20" ht="72" customHeight="1">
      <c r="A1" s="3"/>
      <c r="B1" s="3"/>
      <c r="C1" s="3"/>
      <c r="D1" s="3"/>
      <c r="E1" s="3"/>
      <c r="F1" s="188" t="s">
        <v>132</v>
      </c>
      <c r="G1" s="188"/>
      <c r="H1" s="188"/>
    </row>
    <row r="2" spans="1:20" ht="63.75" customHeight="1">
      <c r="A2" s="3"/>
      <c r="B2" s="3"/>
      <c r="C2" s="3"/>
      <c r="D2" s="3"/>
      <c r="E2" s="3"/>
      <c r="F2" s="188" t="s">
        <v>131</v>
      </c>
      <c r="G2" s="188"/>
      <c r="H2" s="188"/>
    </row>
    <row r="3" spans="1:20" ht="52.15" customHeight="1">
      <c r="A3" s="3"/>
      <c r="B3" s="3"/>
      <c r="C3" s="3"/>
      <c r="D3" s="189" t="s">
        <v>128</v>
      </c>
      <c r="E3" s="189"/>
      <c r="F3" s="189"/>
      <c r="G3" s="3"/>
      <c r="H3" s="3"/>
    </row>
    <row r="4" spans="1:20" ht="32.85" customHeight="1">
      <c r="A4" s="190" t="s">
        <v>0</v>
      </c>
      <c r="B4" s="141"/>
      <c r="C4" s="191" t="s">
        <v>1</v>
      </c>
      <c r="D4" s="191" t="s">
        <v>2</v>
      </c>
      <c r="E4" s="191" t="s">
        <v>3</v>
      </c>
      <c r="F4" s="191" t="s">
        <v>4</v>
      </c>
      <c r="G4" s="191"/>
      <c r="H4" s="191"/>
      <c r="I4" s="4"/>
    </row>
    <row r="5" spans="1:20" ht="90">
      <c r="A5" s="190"/>
      <c r="B5" s="141"/>
      <c r="C5" s="191"/>
      <c r="D5" s="191"/>
      <c r="E5" s="191"/>
      <c r="F5" s="141" t="s">
        <v>5</v>
      </c>
      <c r="G5" s="143" t="s">
        <v>6</v>
      </c>
      <c r="H5" s="143" t="s">
        <v>7</v>
      </c>
      <c r="I5" s="4"/>
      <c r="J5" s="5" t="s">
        <v>8</v>
      </c>
      <c r="K5" s="5"/>
      <c r="L5" s="6" t="s">
        <v>9</v>
      </c>
      <c r="M5" s="7" t="s">
        <v>10</v>
      </c>
      <c r="N5" s="5" t="s">
        <v>11</v>
      </c>
      <c r="O5" s="183" t="s">
        <v>12</v>
      </c>
      <c r="R5" s="1" t="s">
        <v>13</v>
      </c>
      <c r="T5" s="1" t="s">
        <v>14</v>
      </c>
    </row>
    <row r="6" spans="1:20" ht="23.45" customHeight="1">
      <c r="A6" s="192" t="s">
        <v>15</v>
      </c>
      <c r="B6" s="192"/>
      <c r="C6" s="192"/>
      <c r="D6" s="192"/>
      <c r="E6" s="192"/>
      <c r="F6" s="192"/>
      <c r="G6" s="192"/>
      <c r="H6" s="192"/>
      <c r="I6" s="4"/>
      <c r="J6" s="9"/>
      <c r="K6" s="9"/>
      <c r="L6" s="9"/>
      <c r="M6" s="10"/>
      <c r="N6" s="11"/>
      <c r="O6" s="9"/>
    </row>
    <row r="7" spans="1:20" ht="39.6" customHeight="1">
      <c r="A7" s="141">
        <v>1</v>
      </c>
      <c r="B7" s="142"/>
      <c r="C7" s="150" t="s">
        <v>16</v>
      </c>
      <c r="D7" s="151" t="s">
        <v>17</v>
      </c>
      <c r="E7" s="152" t="s">
        <v>18</v>
      </c>
      <c r="F7" s="153">
        <v>285204.58570201381</v>
      </c>
      <c r="G7" s="153">
        <v>182152.54</v>
      </c>
      <c r="H7" s="153">
        <f>F7-G7</f>
        <v>103052.0457020138</v>
      </c>
      <c r="I7" s="4"/>
      <c r="J7" s="14">
        <v>61</v>
      </c>
      <c r="K7" s="9"/>
      <c r="L7" s="9"/>
      <c r="M7" s="10"/>
      <c r="N7" s="15">
        <f>F7*J7</f>
        <v>17397479.727822844</v>
      </c>
      <c r="O7" s="9"/>
      <c r="T7" s="16">
        <f>267653.53*J7</f>
        <v>16326865.330000002</v>
      </c>
    </row>
    <row r="8" spans="1:20" ht="73.7" customHeight="1">
      <c r="A8" s="141">
        <v>2</v>
      </c>
      <c r="B8" s="142"/>
      <c r="C8" s="150" t="s">
        <v>19</v>
      </c>
      <c r="D8" s="154" t="s">
        <v>17</v>
      </c>
      <c r="E8" s="152" t="s">
        <v>20</v>
      </c>
      <c r="F8" s="153">
        <v>77482.46303116226</v>
      </c>
      <c r="G8" s="153">
        <v>49482.85</v>
      </c>
      <c r="H8" s="153">
        <f>F8-G8</f>
        <v>27999.613031162262</v>
      </c>
      <c r="I8" s="4"/>
      <c r="J8" s="14">
        <v>410</v>
      </c>
      <c r="K8" s="9"/>
      <c r="L8" s="9"/>
      <c r="M8" s="10"/>
      <c r="N8" s="15">
        <f>F8*J8</f>
        <v>31767809.842776526</v>
      </c>
      <c r="O8" s="9"/>
      <c r="T8" s="16">
        <f>102476.81*310</f>
        <v>31767811.099999998</v>
      </c>
    </row>
    <row r="9" spans="1:20" ht="48.6" customHeight="1">
      <c r="A9" s="193">
        <v>3</v>
      </c>
      <c r="B9" s="141" t="s">
        <v>21</v>
      </c>
      <c r="C9" s="195" t="s">
        <v>22</v>
      </c>
      <c r="D9" s="154" t="s">
        <v>17</v>
      </c>
      <c r="E9" s="152" t="s">
        <v>23</v>
      </c>
      <c r="F9" s="153">
        <v>551.16602007280994</v>
      </c>
      <c r="G9" s="153">
        <f>420.02+38.3</f>
        <v>458.32</v>
      </c>
      <c r="H9" s="153">
        <f>8.74+0.38+82.17+1.56</f>
        <v>92.850000000000009</v>
      </c>
      <c r="I9" s="18"/>
      <c r="J9" s="19">
        <v>600</v>
      </c>
      <c r="K9" s="14" t="s">
        <v>24</v>
      </c>
      <c r="L9" s="19"/>
      <c r="N9" s="20">
        <f>F9*J9+L9</f>
        <v>330699.61204368598</v>
      </c>
      <c r="O9" s="21"/>
      <c r="Q9" s="22" t="s">
        <v>25</v>
      </c>
      <c r="R9" s="23">
        <v>1</v>
      </c>
      <c r="T9" s="180">
        <f>551.17*J9</f>
        <v>330702</v>
      </c>
    </row>
    <row r="10" spans="1:20" ht="60" hidden="1">
      <c r="A10" s="194"/>
      <c r="B10" s="141" t="s">
        <v>26</v>
      </c>
      <c r="C10" s="196"/>
      <c r="D10" s="155" t="s">
        <v>27</v>
      </c>
      <c r="E10" s="156" t="s">
        <v>23</v>
      </c>
      <c r="F10" s="157">
        <v>815.34629300329141</v>
      </c>
      <c r="G10" s="158">
        <v>496.63</v>
      </c>
      <c r="H10" s="158">
        <v>318.72000000000003</v>
      </c>
      <c r="I10" s="24"/>
      <c r="J10" s="19">
        <v>150</v>
      </c>
      <c r="K10" s="14" t="s">
        <v>24</v>
      </c>
      <c r="L10" s="19"/>
      <c r="M10" s="19"/>
      <c r="N10" s="200">
        <f>F10*J10+F11*J11</f>
        <v>163069.25860065827</v>
      </c>
      <c r="O10" s="8"/>
      <c r="Q10" s="25" t="s">
        <v>28</v>
      </c>
      <c r="R10" s="26">
        <f>F10/F9</f>
        <v>1.4793116108565307</v>
      </c>
      <c r="T10" s="198">
        <f>815.35*200</f>
        <v>163070</v>
      </c>
    </row>
    <row r="11" spans="1:20" ht="30">
      <c r="A11" s="141">
        <v>4</v>
      </c>
      <c r="B11" s="141"/>
      <c r="C11" s="150" t="s">
        <v>91</v>
      </c>
      <c r="D11" s="154" t="s">
        <v>17</v>
      </c>
      <c r="E11" s="152" t="s">
        <v>122</v>
      </c>
      <c r="F11" s="153">
        <v>815.34629300329141</v>
      </c>
      <c r="G11" s="153">
        <v>496.63</v>
      </c>
      <c r="H11" s="153">
        <v>318.72000000000003</v>
      </c>
      <c r="I11" s="24"/>
      <c r="J11" s="19">
        <v>50</v>
      </c>
      <c r="K11" s="14"/>
      <c r="L11" s="19"/>
      <c r="M11" s="19"/>
      <c r="N11" s="201"/>
      <c r="O11" s="142"/>
      <c r="Q11" s="25"/>
      <c r="R11" s="26"/>
      <c r="T11" s="198"/>
    </row>
    <row r="12" spans="1:20" ht="30">
      <c r="A12" s="187">
        <v>5</v>
      </c>
      <c r="B12" s="167"/>
      <c r="C12" s="186" t="s">
        <v>29</v>
      </c>
      <c r="D12" s="154" t="s">
        <v>17</v>
      </c>
      <c r="E12" s="152" t="s">
        <v>30</v>
      </c>
      <c r="F12" s="159">
        <v>898.41812847790391</v>
      </c>
      <c r="G12" s="153">
        <v>481.07</v>
      </c>
      <c r="H12" s="160">
        <f>F12-G12</f>
        <v>417.34812847790391</v>
      </c>
      <c r="I12" s="24"/>
      <c r="J12" s="19">
        <v>3500</v>
      </c>
      <c r="K12" s="14" t="s">
        <v>31</v>
      </c>
      <c r="L12" s="19"/>
      <c r="M12" s="19"/>
      <c r="N12" s="20">
        <f>(J12+J13)*F12</f>
        <v>3593672.5139116156</v>
      </c>
      <c r="O12" s="8"/>
      <c r="Q12" s="28" t="s">
        <v>32</v>
      </c>
      <c r="R12" s="23"/>
      <c r="T12" s="199">
        <f>F12*4000</f>
        <v>3593672.5139116156</v>
      </c>
    </row>
    <row r="13" spans="1:20" ht="30">
      <c r="A13" s="187">
        <v>6</v>
      </c>
      <c r="B13" s="167"/>
      <c r="C13" s="186" t="s">
        <v>29</v>
      </c>
      <c r="D13" s="154" t="s">
        <v>17</v>
      </c>
      <c r="E13" s="152" t="s">
        <v>33</v>
      </c>
      <c r="F13" s="159">
        <v>898.41812847790391</v>
      </c>
      <c r="G13" s="153">
        <v>481.07</v>
      </c>
      <c r="H13" s="160">
        <f>F13-G13</f>
        <v>417.34812847790391</v>
      </c>
      <c r="I13" s="24"/>
      <c r="J13" s="19">
        <v>500</v>
      </c>
      <c r="K13" s="14"/>
      <c r="L13" s="19"/>
      <c r="M13" s="19"/>
      <c r="N13" s="20"/>
      <c r="O13" s="8"/>
      <c r="Q13" s="28"/>
      <c r="R13" s="23"/>
      <c r="T13" s="199"/>
    </row>
    <row r="14" spans="1:20" ht="81.599999999999994" customHeight="1">
      <c r="A14" s="146">
        <v>7</v>
      </c>
      <c r="B14" s="147" t="s">
        <v>34</v>
      </c>
      <c r="C14" s="150" t="s">
        <v>35</v>
      </c>
      <c r="D14" s="154" t="s">
        <v>17</v>
      </c>
      <c r="E14" s="152" t="s">
        <v>36</v>
      </c>
      <c r="F14" s="159">
        <v>123.99679893879394</v>
      </c>
      <c r="G14" s="153">
        <v>99.07</v>
      </c>
      <c r="H14" s="153">
        <v>24.93</v>
      </c>
      <c r="I14" s="29"/>
      <c r="J14" s="30">
        <v>170673</v>
      </c>
      <c r="K14" s="31" t="s">
        <v>37</v>
      </c>
      <c r="L14" s="32"/>
      <c r="M14" s="23"/>
      <c r="N14" s="33">
        <f>F14*J14</f>
        <v>21162905.665280778</v>
      </c>
      <c r="Q14" s="182" t="s">
        <v>38</v>
      </c>
      <c r="R14" s="23"/>
      <c r="T14" s="181">
        <f>124*J14</f>
        <v>21163452</v>
      </c>
    </row>
    <row r="15" spans="1:20" ht="67.5" hidden="1" customHeight="1">
      <c r="A15" s="146">
        <v>5</v>
      </c>
      <c r="B15" s="147"/>
      <c r="C15" s="34"/>
      <c r="D15" s="35"/>
      <c r="E15" s="35"/>
      <c r="F15" s="35"/>
      <c r="G15" s="35"/>
      <c r="H15" s="35"/>
      <c r="I15" s="29"/>
      <c r="J15" s="30">
        <v>31</v>
      </c>
      <c r="K15" s="31" t="s">
        <v>39</v>
      </c>
      <c r="L15" s="32"/>
      <c r="M15" s="23"/>
      <c r="N15" s="33">
        <f>F8*J15</f>
        <v>2401956.3539660303</v>
      </c>
      <c r="Q15" s="36" t="s">
        <v>40</v>
      </c>
      <c r="R15" s="23"/>
    </row>
    <row r="16" spans="1:20" ht="67.5" hidden="1" customHeight="1">
      <c r="A16" s="146">
        <v>6</v>
      </c>
      <c r="B16" s="147"/>
      <c r="C16" s="34"/>
      <c r="D16" s="35"/>
      <c r="E16" s="35"/>
      <c r="F16" s="35"/>
      <c r="G16" s="35"/>
      <c r="H16" s="35"/>
      <c r="I16" s="29"/>
      <c r="J16" s="30">
        <v>65</v>
      </c>
      <c r="K16" s="31" t="s">
        <v>41</v>
      </c>
      <c r="L16" s="32"/>
      <c r="M16" s="23"/>
      <c r="N16" s="33">
        <f>F7*J16</f>
        <v>18538298.070630897</v>
      </c>
      <c r="Q16" s="36"/>
      <c r="R16" s="23"/>
    </row>
    <row r="17" spans="1:20" ht="49.5" customHeight="1">
      <c r="A17" s="146">
        <v>8</v>
      </c>
      <c r="B17" s="147"/>
      <c r="C17" s="148" t="s">
        <v>16</v>
      </c>
      <c r="D17" s="17" t="s">
        <v>17</v>
      </c>
      <c r="E17" s="12" t="s">
        <v>42</v>
      </c>
      <c r="F17" s="13">
        <v>245.41165928634734</v>
      </c>
      <c r="G17" s="13">
        <v>94.16</v>
      </c>
      <c r="H17" s="13">
        <v>151.25</v>
      </c>
      <c r="I17" s="29"/>
      <c r="J17" s="30">
        <v>69100</v>
      </c>
      <c r="K17" s="31" t="s">
        <v>41</v>
      </c>
      <c r="L17" s="32"/>
      <c r="M17" s="23"/>
      <c r="N17" s="33">
        <f>F17*J17</f>
        <v>16957945.6566866</v>
      </c>
      <c r="O17" s="37">
        <v>16957945.66</v>
      </c>
      <c r="P17" s="38">
        <f>F17*J17</f>
        <v>16957945.6566866</v>
      </c>
      <c r="Q17" s="39" t="s">
        <v>43</v>
      </c>
      <c r="R17" s="2"/>
      <c r="T17" s="184">
        <f>245.41*J17</f>
        <v>16957831</v>
      </c>
    </row>
    <row r="18" spans="1:20" ht="27.95" customHeight="1">
      <c r="A18" s="197" t="s">
        <v>44</v>
      </c>
      <c r="B18" s="197"/>
      <c r="C18" s="197"/>
      <c r="D18" s="197"/>
      <c r="E18" s="197"/>
      <c r="F18" s="197"/>
      <c r="G18" s="197"/>
      <c r="H18" s="197"/>
      <c r="I18" s="29"/>
      <c r="J18" s="30"/>
      <c r="K18" s="31"/>
      <c r="L18" s="32"/>
      <c r="M18" s="23"/>
      <c r="N18" s="33"/>
      <c r="O18" s="42"/>
      <c r="P18" s="23"/>
      <c r="R18" s="2"/>
    </row>
    <row r="19" spans="1:20" ht="27.95" customHeight="1">
      <c r="A19" s="190" t="s">
        <v>0</v>
      </c>
      <c r="B19" s="146"/>
      <c r="C19" s="191" t="s">
        <v>45</v>
      </c>
      <c r="D19" s="191" t="s">
        <v>46</v>
      </c>
      <c r="E19" s="191" t="s">
        <v>3</v>
      </c>
      <c r="F19" s="191" t="s">
        <v>47</v>
      </c>
      <c r="G19" s="191"/>
      <c r="H19" s="191"/>
      <c r="I19" s="29"/>
      <c r="J19" s="30"/>
      <c r="K19" s="31"/>
      <c r="L19" s="32"/>
      <c r="M19" s="23"/>
      <c r="N19" s="33"/>
      <c r="O19" s="42"/>
      <c r="P19" s="23"/>
      <c r="R19" s="2"/>
      <c r="T19" s="1">
        <v>3.1353887559841098</v>
      </c>
    </row>
    <row r="20" spans="1:20" ht="63.75" customHeight="1">
      <c r="A20" s="190"/>
      <c r="B20" s="146"/>
      <c r="C20" s="191"/>
      <c r="D20" s="191"/>
      <c r="E20" s="191"/>
      <c r="F20" s="146" t="s">
        <v>5</v>
      </c>
      <c r="G20" s="147" t="s">
        <v>48</v>
      </c>
      <c r="H20" s="147" t="s">
        <v>7</v>
      </c>
      <c r="I20" s="29"/>
      <c r="J20" s="30"/>
      <c r="K20" s="31"/>
      <c r="L20" s="32"/>
      <c r="M20" s="23"/>
      <c r="N20" s="33"/>
      <c r="O20" s="42"/>
      <c r="R20" s="2"/>
      <c r="S20" s="23" t="s">
        <v>49</v>
      </c>
    </row>
    <row r="21" spans="1:20" ht="45.75" hidden="1" customHeight="1">
      <c r="A21" s="190">
        <v>1</v>
      </c>
      <c r="B21" s="146" t="s">
        <v>21</v>
      </c>
      <c r="C21" s="202" t="s">
        <v>50</v>
      </c>
      <c r="D21" s="177" t="s">
        <v>51</v>
      </c>
      <c r="E21" s="178" t="s">
        <v>52</v>
      </c>
      <c r="F21" s="179">
        <v>11286308.911439929</v>
      </c>
      <c r="G21" s="179">
        <f>8376189.44+779454.57</f>
        <v>9155644.0099999998</v>
      </c>
      <c r="H21" s="179">
        <f>177870.01+7648.62+1913482.18+31664.09</f>
        <v>2130664.9</v>
      </c>
      <c r="I21" s="24"/>
      <c r="J21" s="19">
        <v>4</v>
      </c>
      <c r="K21" s="19" t="s">
        <v>53</v>
      </c>
      <c r="L21" s="43">
        <v>2400000</v>
      </c>
      <c r="N21" s="44">
        <f t="shared" ref="N21:N27" si="0">F21*J21</f>
        <v>45145235.645759717</v>
      </c>
      <c r="O21" s="45">
        <v>47875935.259999998</v>
      </c>
      <c r="P21" s="38">
        <f>N9+N21+L21</f>
        <v>47875935.257803403</v>
      </c>
      <c r="Q21" s="22" t="s">
        <v>25</v>
      </c>
      <c r="R21" s="2"/>
      <c r="S21" s="46">
        <f>F21/F22</f>
        <v>2.7731395641962004</v>
      </c>
      <c r="T21" s="185">
        <f>11286308.91*J21</f>
        <v>45145235.640000001</v>
      </c>
    </row>
    <row r="22" spans="1:20" ht="37.5" customHeight="1">
      <c r="A22" s="190"/>
      <c r="B22" s="146" t="s">
        <v>26</v>
      </c>
      <c r="C22" s="202"/>
      <c r="D22" s="151" t="s">
        <v>54</v>
      </c>
      <c r="E22" s="161" t="s">
        <v>52</v>
      </c>
      <c r="F22" s="159">
        <v>4069866.8964074608</v>
      </c>
      <c r="G22" s="162">
        <v>2766586.85</v>
      </c>
      <c r="H22" s="153">
        <v>1303280.05</v>
      </c>
      <c r="I22" s="24"/>
      <c r="J22" s="19">
        <v>3</v>
      </c>
      <c r="K22" s="19" t="s">
        <v>53</v>
      </c>
      <c r="L22" s="47">
        <v>13500</v>
      </c>
      <c r="N22" s="20">
        <f>F22*J22</f>
        <v>12209600.689222382</v>
      </c>
      <c r="O22" s="45">
        <v>16456036.84</v>
      </c>
      <c r="P22" s="48">
        <f>N10+N22+L22+N27</f>
        <v>16456036.844230501</v>
      </c>
      <c r="Q22" s="49" t="s">
        <v>28</v>
      </c>
      <c r="R22" s="2"/>
      <c r="T22" s="50">
        <f>4069866.9*J22</f>
        <v>12209600.699999999</v>
      </c>
    </row>
    <row r="23" spans="1:20" ht="87.6" customHeight="1">
      <c r="A23" s="187">
        <v>2</v>
      </c>
      <c r="B23" s="167"/>
      <c r="C23" s="186" t="s">
        <v>55</v>
      </c>
      <c r="D23" s="151" t="s">
        <v>54</v>
      </c>
      <c r="E23" s="152" t="s">
        <v>56</v>
      </c>
      <c r="F23" s="159">
        <v>238.46558754150257</v>
      </c>
      <c r="G23" s="153">
        <v>127.69</v>
      </c>
      <c r="H23" s="153">
        <f>F23-G23</f>
        <v>110.77558754150257</v>
      </c>
      <c r="I23" s="24"/>
      <c r="J23" s="19">
        <v>27077</v>
      </c>
      <c r="K23" s="14" t="s">
        <v>57</v>
      </c>
      <c r="L23" s="19"/>
      <c r="M23" s="51">
        <v>675000</v>
      </c>
      <c r="N23" s="144">
        <f>F23*J23</f>
        <v>6456932.7138612652</v>
      </c>
      <c r="O23" s="45">
        <f>8644387.81*0+9375605.23</f>
        <v>9375605.2300000004</v>
      </c>
      <c r="P23" s="52">
        <f>N23+N12-M23</f>
        <v>9375605.2277728803</v>
      </c>
      <c r="Q23" s="28" t="s">
        <v>32</v>
      </c>
      <c r="R23" s="145" t="s">
        <v>84</v>
      </c>
      <c r="S23" s="53" t="s">
        <v>58</v>
      </c>
      <c r="T23" s="54">
        <f>221.12*J23</f>
        <v>5987266.2400000002</v>
      </c>
    </row>
    <row r="24" spans="1:20" ht="39.75" hidden="1" customHeight="1">
      <c r="A24" s="146"/>
      <c r="B24" s="146"/>
      <c r="C24" s="163" t="s">
        <v>59</v>
      </c>
      <c r="D24" s="164" t="s">
        <v>124</v>
      </c>
      <c r="E24" s="165" t="s">
        <v>61</v>
      </c>
      <c r="F24" s="166">
        <v>10051609.319351666</v>
      </c>
      <c r="G24" s="166">
        <v>6336107.5999999996</v>
      </c>
      <c r="H24" s="166">
        <v>3715501.72</v>
      </c>
      <c r="I24" s="24"/>
      <c r="J24" s="32">
        <v>4</v>
      </c>
      <c r="K24" s="32" t="s">
        <v>62</v>
      </c>
      <c r="L24" s="55">
        <v>212289.37</v>
      </c>
      <c r="M24" s="27">
        <v>0</v>
      </c>
      <c r="N24" s="56">
        <f t="shared" si="0"/>
        <v>40206437.277406663</v>
      </c>
      <c r="O24" s="42">
        <v>89584016.219999999</v>
      </c>
      <c r="P24" s="52">
        <f>N7+N8+L24+N24</f>
        <v>89584016.21800603</v>
      </c>
      <c r="Q24" s="36" t="s">
        <v>40</v>
      </c>
      <c r="R24" s="145" t="s">
        <v>84</v>
      </c>
      <c r="T24" s="16">
        <f>8023759.9*4</f>
        <v>32095039.600000001</v>
      </c>
    </row>
    <row r="25" spans="1:20" ht="75">
      <c r="A25" s="187">
        <v>3</v>
      </c>
      <c r="B25" s="187"/>
      <c r="C25" s="186" t="s">
        <v>63</v>
      </c>
      <c r="D25" s="167" t="s">
        <v>60</v>
      </c>
      <c r="E25" s="152" t="s">
        <v>127</v>
      </c>
      <c r="F25" s="153">
        <v>2913.8027889133054</v>
      </c>
      <c r="G25" s="153">
        <v>2340.9299999999998</v>
      </c>
      <c r="H25" s="153">
        <v>572.87</v>
      </c>
      <c r="I25" s="18"/>
      <c r="J25" s="30">
        <v>7500</v>
      </c>
      <c r="K25" s="31" t="s">
        <v>64</v>
      </c>
      <c r="L25" s="32"/>
      <c r="M25" s="27">
        <v>0</v>
      </c>
      <c r="N25" s="33">
        <f t="shared" si="0"/>
        <v>21853520.916849792</v>
      </c>
      <c r="O25" s="42">
        <v>36872200</v>
      </c>
      <c r="P25" s="52">
        <f>N14+N25</f>
        <v>43016426.582130566</v>
      </c>
      <c r="Q25" s="182" t="s">
        <v>38</v>
      </c>
      <c r="R25" s="2"/>
      <c r="T25" s="16">
        <f>2913.8*J25</f>
        <v>21853500</v>
      </c>
    </row>
    <row r="26" spans="1:20" ht="45">
      <c r="A26" s="146">
        <v>4</v>
      </c>
      <c r="B26" s="146"/>
      <c r="C26" s="150" t="s">
        <v>65</v>
      </c>
      <c r="D26" s="167" t="s">
        <v>66</v>
      </c>
      <c r="E26" s="152" t="s">
        <v>67</v>
      </c>
      <c r="F26" s="153">
        <v>333.37</v>
      </c>
      <c r="G26" s="153">
        <v>137.97999999999999</v>
      </c>
      <c r="H26" s="153">
        <f>F26-G26</f>
        <v>195.39000000000001</v>
      </c>
      <c r="J26" s="23">
        <v>136487</v>
      </c>
      <c r="K26" s="23" t="s">
        <v>69</v>
      </c>
      <c r="N26" s="27">
        <f>F26*J26</f>
        <v>45500671.189999998</v>
      </c>
      <c r="O26" s="57">
        <v>43516000</v>
      </c>
      <c r="P26" s="58">
        <f>N17+N26</f>
        <v>62458616.846686602</v>
      </c>
      <c r="Q26" s="59" t="s">
        <v>43</v>
      </c>
      <c r="S26" s="184">
        <f>T17+T26</f>
        <v>60473981.210000001</v>
      </c>
      <c r="T26" s="184">
        <f>318.83*J26</f>
        <v>43516150.210000001</v>
      </c>
    </row>
    <row r="27" spans="1:20" ht="33" customHeight="1">
      <c r="A27" s="146">
        <v>5</v>
      </c>
      <c r="B27" s="146"/>
      <c r="C27" s="150" t="s">
        <v>59</v>
      </c>
      <c r="D27" s="167" t="s">
        <v>123</v>
      </c>
      <c r="E27" s="152" t="s">
        <v>61</v>
      </c>
      <c r="F27" s="159">
        <v>4069866.8964074608</v>
      </c>
      <c r="G27" s="159">
        <v>2766586.85</v>
      </c>
      <c r="H27" s="159">
        <v>1303280.05</v>
      </c>
      <c r="J27" s="23">
        <v>1</v>
      </c>
      <c r="K27" s="23"/>
      <c r="N27" s="27">
        <f t="shared" si="0"/>
        <v>4069866.8964074608</v>
      </c>
      <c r="O27" s="57"/>
      <c r="P27" s="58">
        <f>F27*J27</f>
        <v>4069866.8964074608</v>
      </c>
      <c r="Q27" s="149" t="s">
        <v>28</v>
      </c>
      <c r="S27" s="40"/>
      <c r="T27" s="40"/>
    </row>
    <row r="28" spans="1:20">
      <c r="H28" s="60"/>
      <c r="O28" s="60"/>
      <c r="P28" s="61"/>
    </row>
    <row r="29" spans="1:20">
      <c r="H29" s="60" t="s">
        <v>70</v>
      </c>
    </row>
    <row r="36" spans="1:1">
      <c r="A36" s="2"/>
    </row>
  </sheetData>
  <mergeCells count="22">
    <mergeCell ref="T10:T11"/>
    <mergeCell ref="T12:T13"/>
    <mergeCell ref="N10:N11"/>
    <mergeCell ref="A21:A22"/>
    <mergeCell ref="C21:C22"/>
    <mergeCell ref="A6:H6"/>
    <mergeCell ref="A9:A10"/>
    <mergeCell ref="C9:C10"/>
    <mergeCell ref="A18:H18"/>
    <mergeCell ref="A19:A20"/>
    <mergeCell ref="C19:C20"/>
    <mergeCell ref="D19:D20"/>
    <mergeCell ref="E19:E20"/>
    <mergeCell ref="F19:H19"/>
    <mergeCell ref="F1:H1"/>
    <mergeCell ref="F2:H2"/>
    <mergeCell ref="D3:F3"/>
    <mergeCell ref="A4:A5"/>
    <mergeCell ref="C4:C5"/>
    <mergeCell ref="D4:D5"/>
    <mergeCell ref="E4:E5"/>
    <mergeCell ref="F4:H4"/>
  </mergeCells>
  <pageMargins left="0.59055118110236227" right="0.31496062992125984" top="0.35433070866141736" bottom="0.27559055118110237" header="0.51181102362204722" footer="0.51181102362204722"/>
  <pageSetup paperSize="9" scale="85" orientation="landscape" useFirstPageNumber="1" horizontalDpi="300" verticalDpi="300" r:id="rId1"/>
  <rowBreaks count="1" manualBreakCount="1">
    <brk id="13" max="16383" man="1"/>
  </rowBreaks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7"/>
  <sheetViews>
    <sheetView view="pageBreakPreview" topLeftCell="A10" zoomScale="75" zoomScaleNormal="83" zoomScalePageLayoutView="75" workbookViewId="0">
      <selection activeCell="Q14" sqref="Q14"/>
    </sheetView>
  </sheetViews>
  <sheetFormatPr defaultColWidth="11.7109375" defaultRowHeight="12.75"/>
  <cols>
    <col min="1" max="1" width="11.7109375" style="1"/>
    <col min="2" max="2" width="24.42578125" style="1" hidden="1" customWidth="1"/>
    <col min="3" max="3" width="24.42578125" style="1" customWidth="1"/>
    <col min="4" max="4" width="19.85546875" style="1" customWidth="1"/>
    <col min="5" max="5" width="28.5703125" style="1" customWidth="1"/>
    <col min="6" max="6" width="11.7109375" style="1"/>
    <col min="7" max="8" width="16.85546875" style="1" customWidth="1"/>
    <col min="9" max="9" width="16.5703125" style="1" customWidth="1"/>
    <col min="10" max="13" width="11.7109375" style="1"/>
    <col min="14" max="14" width="17.42578125" style="1" customWidth="1"/>
    <col min="15" max="15" width="14.7109375" style="1" customWidth="1"/>
    <col min="16" max="16" width="17.28515625" style="1" customWidth="1"/>
    <col min="17" max="17" width="13.7109375" style="1" customWidth="1"/>
    <col min="18" max="1025" width="11.7109375" style="1"/>
  </cols>
  <sheetData>
    <row r="1" spans="1:17" ht="12.75" customHeight="1">
      <c r="G1" s="203" t="s">
        <v>71</v>
      </c>
      <c r="H1" s="203"/>
      <c r="I1" s="203"/>
    </row>
    <row r="2" spans="1:17" ht="20.25" customHeight="1">
      <c r="G2" s="203"/>
      <c r="H2" s="203"/>
      <c r="I2" s="203"/>
    </row>
    <row r="3" spans="1:17" ht="12.75" customHeight="1">
      <c r="G3" s="203"/>
      <c r="H3" s="203"/>
      <c r="I3" s="203"/>
    </row>
    <row r="4" spans="1:17" ht="25.5" customHeight="1">
      <c r="G4" s="203"/>
      <c r="H4" s="203"/>
      <c r="I4" s="203"/>
    </row>
    <row r="5" spans="1:17" ht="31.5" customHeight="1">
      <c r="D5" s="204" t="s">
        <v>72</v>
      </c>
      <c r="E5" s="204"/>
      <c r="F5" s="204"/>
      <c r="G5" s="204"/>
    </row>
    <row r="6" spans="1:17" ht="23.85" customHeight="1">
      <c r="A6" s="205" t="s">
        <v>0</v>
      </c>
      <c r="B6" s="32"/>
      <c r="C6" s="206" t="s">
        <v>73</v>
      </c>
      <c r="D6" s="206" t="s">
        <v>46</v>
      </c>
      <c r="E6" s="206" t="s">
        <v>3</v>
      </c>
      <c r="F6" s="206" t="s">
        <v>74</v>
      </c>
      <c r="G6" s="206" t="s">
        <v>4</v>
      </c>
      <c r="H6" s="206"/>
      <c r="I6" s="206"/>
      <c r="J6" s="4"/>
    </row>
    <row r="7" spans="1:17" ht="102">
      <c r="A7" s="205"/>
      <c r="B7" s="32"/>
      <c r="C7" s="206"/>
      <c r="D7" s="206"/>
      <c r="E7" s="206"/>
      <c r="F7" s="206"/>
      <c r="G7" s="32" t="s">
        <v>5</v>
      </c>
      <c r="H7" s="62" t="s">
        <v>75</v>
      </c>
      <c r="I7" s="62" t="s">
        <v>76</v>
      </c>
      <c r="J7" s="4"/>
      <c r="K7" s="9" t="s">
        <v>8</v>
      </c>
      <c r="L7" s="9"/>
      <c r="M7" s="9" t="s">
        <v>9</v>
      </c>
      <c r="N7" s="11" t="s">
        <v>11</v>
      </c>
      <c r="O7" s="9" t="s">
        <v>77</v>
      </c>
      <c r="P7" s="10" t="s">
        <v>78</v>
      </c>
      <c r="Q7" s="63" t="s">
        <v>13</v>
      </c>
    </row>
    <row r="8" spans="1:17" ht="45.75" customHeight="1">
      <c r="A8" s="205">
        <v>1</v>
      </c>
      <c r="B8" s="32" t="s">
        <v>21</v>
      </c>
      <c r="C8" s="207" t="s">
        <v>50</v>
      </c>
      <c r="D8" s="64" t="s">
        <v>79</v>
      </c>
      <c r="E8" s="65" t="s">
        <v>80</v>
      </c>
      <c r="F8" s="66" t="s">
        <v>81</v>
      </c>
      <c r="G8" s="67">
        <v>7939757.2808188898</v>
      </c>
      <c r="H8" s="67">
        <v>5354889.7612899896</v>
      </c>
      <c r="I8" s="67">
        <v>2584867.5299900002</v>
      </c>
      <c r="J8" s="68"/>
      <c r="K8" s="69">
        <v>4</v>
      </c>
      <c r="L8" s="69" t="s">
        <v>53</v>
      </c>
      <c r="M8" s="70">
        <v>2700000</v>
      </c>
      <c r="N8" s="70">
        <f>G8*K8+M8</f>
        <v>34459029.123275563</v>
      </c>
      <c r="O8" s="71">
        <v>34459029.130000003</v>
      </c>
      <c r="P8" s="20"/>
      <c r="Q8" s="63"/>
    </row>
    <row r="9" spans="1:17" ht="37.5" customHeight="1">
      <c r="A9" s="205"/>
      <c r="B9" s="32" t="s">
        <v>26</v>
      </c>
      <c r="C9" s="207"/>
      <c r="D9" s="62" t="s">
        <v>82</v>
      </c>
      <c r="E9" s="72" t="s">
        <v>83</v>
      </c>
      <c r="F9" s="66" t="s">
        <v>81</v>
      </c>
      <c r="G9" s="73">
        <v>2644740.84855475</v>
      </c>
      <c r="H9" s="74">
        <v>1670250.64682385</v>
      </c>
      <c r="I9" s="74">
        <v>115791.8</v>
      </c>
      <c r="J9" s="75" t="s">
        <v>84</v>
      </c>
      <c r="K9" s="19">
        <v>4</v>
      </c>
      <c r="L9" s="19" t="s">
        <v>53</v>
      </c>
      <c r="M9" s="19">
        <v>15652</v>
      </c>
      <c r="N9" s="76">
        <f>G9*K9+M9</f>
        <v>10594615.394219</v>
      </c>
      <c r="O9" s="77">
        <v>10594616</v>
      </c>
      <c r="P9" s="19"/>
      <c r="Q9" s="63"/>
    </row>
    <row r="10" spans="1:17" ht="35.25" customHeight="1">
      <c r="A10" s="205">
        <v>2</v>
      </c>
      <c r="B10" s="32" t="s">
        <v>21</v>
      </c>
      <c r="C10" s="208" t="s">
        <v>85</v>
      </c>
      <c r="D10" s="78" t="s">
        <v>86</v>
      </c>
      <c r="E10" s="72" t="s">
        <v>87</v>
      </c>
      <c r="F10" s="62" t="s">
        <v>24</v>
      </c>
      <c r="G10" s="67">
        <v>497.62375600000001</v>
      </c>
      <c r="H10" s="79">
        <v>378.29</v>
      </c>
      <c r="I10" s="79">
        <v>58.46</v>
      </c>
      <c r="J10" s="80"/>
      <c r="K10" s="69">
        <v>20500</v>
      </c>
      <c r="L10" s="81" t="s">
        <v>24</v>
      </c>
      <c r="M10" s="69"/>
      <c r="N10" s="70">
        <f>G10*K10+M10</f>
        <v>10201286.998</v>
      </c>
      <c r="O10" s="82"/>
      <c r="P10" s="83">
        <v>10201287</v>
      </c>
      <c r="Q10" s="84">
        <v>1</v>
      </c>
    </row>
    <row r="11" spans="1:17" ht="38.25">
      <c r="A11" s="205"/>
      <c r="B11" s="32" t="s">
        <v>26</v>
      </c>
      <c r="C11" s="208"/>
      <c r="D11" s="78" t="s">
        <v>86</v>
      </c>
      <c r="E11" s="72" t="s">
        <v>87</v>
      </c>
      <c r="F11" s="62" t="s">
        <v>24</v>
      </c>
      <c r="G11" s="85">
        <v>769.73970499999996</v>
      </c>
      <c r="H11" s="74">
        <v>464.86307699999998</v>
      </c>
      <c r="I11" s="74">
        <v>47.294460000000001</v>
      </c>
      <c r="J11" s="75" t="s">
        <v>84</v>
      </c>
      <c r="K11" s="19">
        <v>3400</v>
      </c>
      <c r="L11" s="14" t="s">
        <v>24</v>
      </c>
      <c r="M11" s="2"/>
      <c r="N11" s="76">
        <f>G11*K11</f>
        <v>2617114.997</v>
      </c>
      <c r="O11" s="8"/>
      <c r="P11" s="86">
        <v>2188458</v>
      </c>
      <c r="Q11" s="87">
        <f>G11/G10</f>
        <v>1.5468307043605047</v>
      </c>
    </row>
    <row r="12" spans="1:17" ht="34.5" hidden="1" customHeight="1">
      <c r="A12" s="88">
        <v>3</v>
      </c>
      <c r="B12" s="88" t="s">
        <v>88</v>
      </c>
      <c r="C12" s="89" t="s">
        <v>59</v>
      </c>
      <c r="D12" s="90" t="s">
        <v>89</v>
      </c>
      <c r="E12" s="91" t="s">
        <v>90</v>
      </c>
      <c r="F12" s="88" t="s">
        <v>81</v>
      </c>
      <c r="G12" s="92">
        <f>(H12+I12)</f>
        <v>5130999.9993599998</v>
      </c>
      <c r="H12" s="92">
        <v>3920735.6193599999</v>
      </c>
      <c r="I12" s="92">
        <v>1210264.3799999999</v>
      </c>
      <c r="J12" s="24"/>
      <c r="K12" s="93">
        <v>3</v>
      </c>
      <c r="L12" s="93" t="s">
        <v>62</v>
      </c>
      <c r="M12" s="19"/>
      <c r="N12" s="94">
        <f>G12*K12</f>
        <v>15392999.99808</v>
      </c>
      <c r="O12" s="95">
        <v>15393000</v>
      </c>
      <c r="P12" s="19"/>
    </row>
    <row r="13" spans="1:17" ht="25.5" hidden="1">
      <c r="A13" s="88">
        <v>4</v>
      </c>
      <c r="B13" s="88" t="s">
        <v>88</v>
      </c>
      <c r="C13" s="89" t="s">
        <v>91</v>
      </c>
      <c r="D13" s="90" t="s">
        <v>92</v>
      </c>
      <c r="E13" s="91" t="s">
        <v>93</v>
      </c>
      <c r="F13" s="90" t="s">
        <v>24</v>
      </c>
      <c r="G13" s="92">
        <f>(H13+I13)</f>
        <v>913.32</v>
      </c>
      <c r="H13" s="92">
        <v>899.83</v>
      </c>
      <c r="I13" s="92">
        <v>13.49</v>
      </c>
      <c r="J13" s="24"/>
      <c r="K13" s="93">
        <v>9773</v>
      </c>
      <c r="L13" s="14" t="s">
        <v>24</v>
      </c>
      <c r="M13" s="19"/>
      <c r="N13" s="20">
        <f>G13*K13+M13</f>
        <v>8925876.3600000013</v>
      </c>
      <c r="O13" s="8"/>
      <c r="P13" s="19"/>
    </row>
    <row r="14" spans="1:17" ht="69.75" customHeight="1">
      <c r="A14" s="96">
        <v>3</v>
      </c>
      <c r="B14" s="209" t="s">
        <v>94</v>
      </c>
      <c r="C14" s="97" t="s">
        <v>95</v>
      </c>
      <c r="D14" s="98" t="s">
        <v>17</v>
      </c>
      <c r="E14" s="99" t="s">
        <v>96</v>
      </c>
      <c r="F14" s="100" t="s">
        <v>81</v>
      </c>
      <c r="G14" s="101">
        <v>0</v>
      </c>
      <c r="H14" s="101">
        <v>0</v>
      </c>
      <c r="I14" s="101">
        <v>0</v>
      </c>
      <c r="J14" s="102"/>
      <c r="K14" s="103">
        <v>6</v>
      </c>
      <c r="L14" s="103" t="s">
        <v>97</v>
      </c>
      <c r="M14" s="103"/>
      <c r="N14" s="104">
        <f>G14*K14+M14</f>
        <v>0</v>
      </c>
      <c r="O14" s="105"/>
      <c r="P14" s="106"/>
      <c r="Q14" s="107">
        <f>N18-P14</f>
        <v>6565588.002212056</v>
      </c>
    </row>
    <row r="15" spans="1:17" ht="76.5">
      <c r="A15" s="32">
        <v>3</v>
      </c>
      <c r="B15" s="209"/>
      <c r="C15" s="108" t="s">
        <v>55</v>
      </c>
      <c r="D15" s="64" t="s">
        <v>17</v>
      </c>
      <c r="E15" s="72" t="s">
        <v>98</v>
      </c>
      <c r="F15" s="32" t="s">
        <v>81</v>
      </c>
      <c r="G15" s="109">
        <v>159.350435029892</v>
      </c>
      <c r="H15" s="109">
        <v>77.349999999999994</v>
      </c>
      <c r="I15" s="109">
        <v>9.01</v>
      </c>
      <c r="J15" s="24"/>
      <c r="K15" s="19">
        <v>26306</v>
      </c>
      <c r="L15" s="14" t="s">
        <v>57</v>
      </c>
      <c r="M15" s="19"/>
      <c r="N15" s="110">
        <f>G15*K15+M15</f>
        <v>4191872.5438963389</v>
      </c>
      <c r="O15" s="111">
        <v>6201588</v>
      </c>
      <c r="P15" s="20">
        <v>364000</v>
      </c>
    </row>
    <row r="16" spans="1:17" ht="38.25">
      <c r="A16" s="32">
        <v>5</v>
      </c>
      <c r="B16" s="209"/>
      <c r="C16" s="112" t="s">
        <v>29</v>
      </c>
      <c r="D16" s="64" t="s">
        <v>99</v>
      </c>
      <c r="E16" s="72" t="s">
        <v>30</v>
      </c>
      <c r="F16" s="32" t="s">
        <v>100</v>
      </c>
      <c r="G16" s="109">
        <v>791.23848610523896</v>
      </c>
      <c r="H16" s="109">
        <v>384.08739600000001</v>
      </c>
      <c r="I16" s="109">
        <v>99.35</v>
      </c>
      <c r="J16" s="18"/>
      <c r="K16" s="19">
        <v>3000</v>
      </c>
      <c r="L16" s="14" t="s">
        <v>31</v>
      </c>
      <c r="M16" s="19"/>
      <c r="N16" s="110">
        <f>G16*K16+M16</f>
        <v>2373715.4583157171</v>
      </c>
      <c r="O16" s="8"/>
      <c r="P16" s="19"/>
    </row>
    <row r="17" spans="1:16" ht="38.25">
      <c r="A17" s="100">
        <v>6</v>
      </c>
      <c r="B17" s="209"/>
      <c r="C17" s="113" t="s">
        <v>101</v>
      </c>
      <c r="D17" s="98" t="s">
        <v>17</v>
      </c>
      <c r="E17" s="99" t="s">
        <v>102</v>
      </c>
      <c r="F17" s="100" t="s">
        <v>100</v>
      </c>
      <c r="G17" s="101">
        <v>0</v>
      </c>
      <c r="H17" s="114">
        <v>0</v>
      </c>
      <c r="I17" s="114">
        <v>0</v>
      </c>
      <c r="J17" s="115"/>
      <c r="K17" s="103">
        <v>2300</v>
      </c>
      <c r="L17" s="116" t="s">
        <v>103</v>
      </c>
      <c r="M17" s="103"/>
      <c r="N17" s="104">
        <f>G17*K17+M17</f>
        <v>0</v>
      </c>
      <c r="O17" s="8"/>
      <c r="P17" s="20">
        <f>N18-P15</f>
        <v>6201588.002212056</v>
      </c>
    </row>
    <row r="18" spans="1:16" ht="21" customHeight="1">
      <c r="A18" s="117"/>
      <c r="B18" s="117"/>
      <c r="C18" s="118" t="s">
        <v>104</v>
      </c>
      <c r="D18" s="64"/>
      <c r="E18" s="72"/>
      <c r="F18" s="32"/>
      <c r="G18" s="33"/>
      <c r="H18" s="32"/>
      <c r="I18" s="32"/>
      <c r="J18" s="119"/>
      <c r="K18" s="120"/>
      <c r="L18" s="120"/>
      <c r="M18" s="120"/>
      <c r="N18" s="121">
        <f>SUM(N14:N17)</f>
        <v>6565588.002212056</v>
      </c>
      <c r="O18" s="122"/>
      <c r="P18" s="23"/>
    </row>
    <row r="19" spans="1:16" ht="63.75">
      <c r="A19" s="32">
        <v>7</v>
      </c>
      <c r="B19" s="205" t="s">
        <v>105</v>
      </c>
      <c r="C19" s="123" t="s">
        <v>19</v>
      </c>
      <c r="D19" s="64" t="s">
        <v>99</v>
      </c>
      <c r="E19" s="72" t="s">
        <v>106</v>
      </c>
      <c r="F19" s="62" t="s">
        <v>81</v>
      </c>
      <c r="G19" s="33">
        <v>1618439.7988315199</v>
      </c>
      <c r="H19" s="33">
        <v>809089.66231578996</v>
      </c>
      <c r="I19" s="33">
        <v>809350.14</v>
      </c>
      <c r="J19" s="24"/>
      <c r="K19" s="32">
        <v>19</v>
      </c>
      <c r="L19" s="32" t="s">
        <v>107</v>
      </c>
      <c r="M19" s="32">
        <v>336803.82</v>
      </c>
      <c r="N19" s="33">
        <f>G19*K19</f>
        <v>30750356.177798878</v>
      </c>
      <c r="O19" s="124">
        <v>71526211</v>
      </c>
      <c r="P19" s="125">
        <f>O19-N22</f>
        <v>3.0284374952316284E-3</v>
      </c>
    </row>
    <row r="20" spans="1:16" ht="39.75" customHeight="1">
      <c r="A20" s="32">
        <v>8</v>
      </c>
      <c r="B20" s="205"/>
      <c r="C20" s="123" t="s">
        <v>108</v>
      </c>
      <c r="D20" s="64" t="s">
        <v>109</v>
      </c>
      <c r="E20" s="72" t="s">
        <v>110</v>
      </c>
      <c r="F20" s="32" t="s">
        <v>81</v>
      </c>
      <c r="G20" s="33">
        <v>246120.86157086899</v>
      </c>
      <c r="H20" s="33">
        <v>114709.07641846201</v>
      </c>
      <c r="I20" s="33">
        <v>131411.78</v>
      </c>
      <c r="J20" s="24"/>
      <c r="K20" s="32">
        <v>65</v>
      </c>
      <c r="L20" s="32" t="s">
        <v>111</v>
      </c>
      <c r="M20" s="32"/>
      <c r="N20" s="33">
        <f>G20*K20+M20</f>
        <v>15997856.002106484</v>
      </c>
      <c r="O20" s="41"/>
      <c r="P20" s="23"/>
    </row>
    <row r="21" spans="1:16" ht="39.75" customHeight="1">
      <c r="A21" s="32">
        <v>9</v>
      </c>
      <c r="B21" s="32"/>
      <c r="C21" s="126" t="s">
        <v>59</v>
      </c>
      <c r="D21" s="62" t="s">
        <v>89</v>
      </c>
      <c r="E21" s="72" t="s">
        <v>90</v>
      </c>
      <c r="F21" s="32" t="s">
        <v>81</v>
      </c>
      <c r="G21" s="33">
        <v>6110298.7492665499</v>
      </c>
      <c r="H21" s="33">
        <v>4535027.3568599997</v>
      </c>
      <c r="I21" s="33">
        <v>1575271.39</v>
      </c>
      <c r="J21" s="24"/>
      <c r="K21" s="32">
        <v>4</v>
      </c>
      <c r="L21" s="32" t="s">
        <v>62</v>
      </c>
      <c r="M21" s="32"/>
      <c r="N21" s="33">
        <f>G21*K21+M21</f>
        <v>24441194.9970662</v>
      </c>
      <c r="O21" s="41"/>
      <c r="P21" s="23"/>
    </row>
    <row r="22" spans="1:16" ht="24" customHeight="1">
      <c r="A22" s="117"/>
      <c r="B22" s="117"/>
      <c r="C22" s="127" t="s">
        <v>112</v>
      </c>
      <c r="D22" s="128"/>
      <c r="E22" s="129"/>
      <c r="F22" s="130"/>
      <c r="G22" s="33"/>
      <c r="H22" s="33"/>
      <c r="I22" s="33"/>
      <c r="J22" s="131"/>
      <c r="K22" s="117"/>
      <c r="L22" s="117"/>
      <c r="M22" s="117"/>
      <c r="N22" s="132">
        <f>SUM(N19:N20)+M19+N21</f>
        <v>71526210.996971563</v>
      </c>
      <c r="O22" s="41"/>
      <c r="P22" s="23"/>
    </row>
    <row r="23" spans="1:16" ht="67.5" customHeight="1">
      <c r="A23" s="32">
        <v>10</v>
      </c>
      <c r="B23" s="206" t="s">
        <v>34</v>
      </c>
      <c r="C23" s="133" t="s">
        <v>35</v>
      </c>
      <c r="D23" s="134" t="s">
        <v>99</v>
      </c>
      <c r="E23" s="72" t="s">
        <v>113</v>
      </c>
      <c r="F23" s="32" t="s">
        <v>81</v>
      </c>
      <c r="G23" s="74">
        <v>148.60831912</v>
      </c>
      <c r="H23" s="74">
        <v>122.981999</v>
      </c>
      <c r="I23" s="74">
        <v>9.15</v>
      </c>
      <c r="J23" s="29"/>
      <c r="K23" s="30">
        <v>126456</v>
      </c>
      <c r="L23" s="31" t="s">
        <v>37</v>
      </c>
      <c r="M23" s="32"/>
      <c r="N23" s="33">
        <f>G23*K23</f>
        <v>18792413.602638721</v>
      </c>
      <c r="O23" s="124">
        <v>37483251</v>
      </c>
      <c r="P23" s="23"/>
    </row>
    <row r="24" spans="1:16" ht="38.25">
      <c r="A24" s="32">
        <v>11</v>
      </c>
      <c r="B24" s="206"/>
      <c r="C24" s="123" t="s">
        <v>114</v>
      </c>
      <c r="D24" s="64" t="s">
        <v>17</v>
      </c>
      <c r="E24" s="72" t="s">
        <v>115</v>
      </c>
      <c r="F24" s="32" t="s">
        <v>81</v>
      </c>
      <c r="G24" s="74">
        <v>92.771942999000004</v>
      </c>
      <c r="H24" s="85">
        <v>46.22</v>
      </c>
      <c r="I24" s="85">
        <v>46.55</v>
      </c>
      <c r="J24" s="135"/>
      <c r="K24" s="30">
        <v>70000</v>
      </c>
      <c r="L24" s="31" t="s">
        <v>64</v>
      </c>
      <c r="M24" s="32"/>
      <c r="N24" s="33">
        <f>G24*K24</f>
        <v>6494036.0099300006</v>
      </c>
      <c r="O24" s="136"/>
      <c r="P24" s="23"/>
    </row>
    <row r="25" spans="1:16" ht="76.5">
      <c r="A25" s="32">
        <v>12</v>
      </c>
      <c r="B25" s="206"/>
      <c r="C25" s="123" t="s">
        <v>63</v>
      </c>
      <c r="D25" s="64" t="s">
        <v>17</v>
      </c>
      <c r="E25" s="72" t="s">
        <v>116</v>
      </c>
      <c r="F25" s="32" t="s">
        <v>81</v>
      </c>
      <c r="G25" s="74">
        <v>1626.2401855294399</v>
      </c>
      <c r="H25" s="85">
        <v>1184.3599999999999</v>
      </c>
      <c r="I25" s="85">
        <v>441.88</v>
      </c>
      <c r="J25" s="18"/>
      <c r="K25" s="30">
        <v>7500</v>
      </c>
      <c r="L25" s="31" t="s">
        <v>64</v>
      </c>
      <c r="M25" s="32"/>
      <c r="N25" s="33">
        <f>G25*K25</f>
        <v>12196801.391470799</v>
      </c>
      <c r="O25" s="136"/>
      <c r="P25" s="23"/>
    </row>
    <row r="26" spans="1:16">
      <c r="I26" s="60" t="s">
        <v>70</v>
      </c>
      <c r="N26" s="107">
        <f>SUM(N23:N25)</f>
        <v>37483251.004039519</v>
      </c>
      <c r="O26" s="137">
        <f>O23-N26</f>
        <v>-4.0395185351371765E-3</v>
      </c>
    </row>
    <row r="27" spans="1:16">
      <c r="O27" s="60"/>
    </row>
  </sheetData>
  <mergeCells count="16">
    <mergeCell ref="B19:B20"/>
    <mergeCell ref="B23:B25"/>
    <mergeCell ref="A8:A9"/>
    <mergeCell ref="C8:C9"/>
    <mergeCell ref="A10:A11"/>
    <mergeCell ref="C10:C11"/>
    <mergeCell ref="B14:B17"/>
    <mergeCell ref="G1:I2"/>
    <mergeCell ref="G3:I4"/>
    <mergeCell ref="D5:G5"/>
    <mergeCell ref="A6:A7"/>
    <mergeCell ref="C6:C7"/>
    <mergeCell ref="D6:D7"/>
    <mergeCell ref="E6:E7"/>
    <mergeCell ref="F6:F7"/>
    <mergeCell ref="G6:I6"/>
  </mergeCells>
  <pageMargins left="0.69722222222222197" right="0.33333333333333298" top="0.13888888888888901" bottom="0.28749999999999998" header="0.511811023622047" footer="0.511811023622047"/>
  <pageSetup paperSize="9" scale="88" orientation="landscape" horizontalDpi="300" verticalDpi="300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15"/>
  <sheetViews>
    <sheetView view="pageBreakPreview" zoomScale="75" zoomScaleNormal="73" zoomScalePageLayoutView="75" workbookViewId="0">
      <selection activeCell="D5" sqref="D5"/>
    </sheetView>
  </sheetViews>
  <sheetFormatPr defaultColWidth="11.7109375" defaultRowHeight="12.75"/>
  <cols>
    <col min="1" max="1" width="6.85546875" style="1" customWidth="1"/>
    <col min="2" max="2" width="26.85546875" style="1" customWidth="1"/>
    <col min="3" max="3" width="21.140625" style="1" customWidth="1"/>
    <col min="4" max="4" width="13.85546875" style="1" customWidth="1"/>
    <col min="5" max="6" width="19.140625" style="1" customWidth="1"/>
    <col min="7" max="7" width="16.28515625" style="1" customWidth="1"/>
    <col min="8" max="8" width="11.7109375" style="1"/>
    <col min="9" max="9" width="18.5703125" style="1" customWidth="1"/>
    <col min="10" max="10" width="16" style="1" customWidth="1"/>
    <col min="11" max="11" width="34.42578125" style="1" customWidth="1"/>
    <col min="12" max="1027" width="11.7109375" style="1"/>
  </cols>
  <sheetData>
    <row r="1" spans="1:1027" ht="82.9" customHeight="1">
      <c r="D1" s="2"/>
      <c r="E1" s="176"/>
      <c r="F1" s="176"/>
      <c r="G1" s="203" t="s">
        <v>126</v>
      </c>
      <c r="H1" s="203"/>
      <c r="I1" s="203"/>
    </row>
    <row r="3" spans="1:1027" ht="71.650000000000006" customHeight="1">
      <c r="B3" s="210" t="s">
        <v>129</v>
      </c>
      <c r="C3" s="210"/>
      <c r="D3" s="210"/>
      <c r="E3" s="210"/>
      <c r="F3" s="210"/>
      <c r="G3" s="210"/>
    </row>
    <row r="4" spans="1:1027" ht="48" customHeight="1">
      <c r="A4" s="211" t="s">
        <v>117</v>
      </c>
      <c r="B4" s="212" t="s">
        <v>118</v>
      </c>
      <c r="C4" s="213" t="s">
        <v>119</v>
      </c>
      <c r="D4" s="211" t="s">
        <v>130</v>
      </c>
      <c r="E4" s="211"/>
      <c r="F4" s="211"/>
      <c r="G4" s="212" t="s">
        <v>120</v>
      </c>
      <c r="H4" s="212"/>
      <c r="I4" s="212"/>
    </row>
    <row r="5" spans="1:1027" ht="76.7" customHeight="1">
      <c r="A5" s="211"/>
      <c r="B5" s="212"/>
      <c r="C5" s="212"/>
      <c r="D5" s="14" t="s">
        <v>121</v>
      </c>
      <c r="E5" s="14" t="s">
        <v>26</v>
      </c>
      <c r="F5" s="14" t="s">
        <v>125</v>
      </c>
      <c r="G5" s="14" t="s">
        <v>121</v>
      </c>
      <c r="H5" s="14" t="s">
        <v>26</v>
      </c>
      <c r="I5" s="14" t="s">
        <v>125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</row>
    <row r="6" spans="1:1027" ht="45.95" customHeight="1">
      <c r="A6" s="19">
        <v>1</v>
      </c>
      <c r="B6" s="169" t="s">
        <v>22</v>
      </c>
      <c r="C6" s="170">
        <f>'В постановление'!F9</f>
        <v>551.16602007280994</v>
      </c>
      <c r="D6" s="171">
        <v>1</v>
      </c>
      <c r="E6" s="172">
        <v>1.24516458</v>
      </c>
      <c r="F6" s="172" t="s">
        <v>68</v>
      </c>
      <c r="G6" s="20">
        <f>C6</f>
        <v>551.16602007280994</v>
      </c>
      <c r="H6" s="173">
        <f>C6*E6</f>
        <v>686.29240589423193</v>
      </c>
      <c r="I6" s="172" t="s">
        <v>68</v>
      </c>
      <c r="J6" s="138"/>
    </row>
    <row r="7" spans="1:1027" ht="26.65" customHeight="1">
      <c r="A7" s="19">
        <v>2</v>
      </c>
      <c r="B7" s="174" t="s">
        <v>50</v>
      </c>
      <c r="C7" s="170">
        <f>'В постановление'!F22</f>
        <v>4069866.8964074608</v>
      </c>
      <c r="D7" s="172">
        <v>2.9105687100000002</v>
      </c>
      <c r="E7" s="19">
        <v>1</v>
      </c>
      <c r="F7" s="19" t="s">
        <v>68</v>
      </c>
      <c r="G7" s="20">
        <f>C7*D7</f>
        <v>11845627.242548367</v>
      </c>
      <c r="H7" s="20">
        <f>C7</f>
        <v>4069866.8964074608</v>
      </c>
      <c r="I7" s="19" t="s">
        <v>68</v>
      </c>
    </row>
    <row r="8" spans="1:1027" ht="25.5">
      <c r="A8" s="19">
        <v>3</v>
      </c>
      <c r="B8" s="169" t="s">
        <v>59</v>
      </c>
      <c r="C8" s="20">
        <f>'В постановление'!F27</f>
        <v>4069866.8964074608</v>
      </c>
      <c r="D8" s="19" t="s">
        <v>68</v>
      </c>
      <c r="E8" s="171">
        <v>1</v>
      </c>
      <c r="F8" s="19">
        <v>2.46976364</v>
      </c>
      <c r="G8" s="19" t="s">
        <v>68</v>
      </c>
      <c r="H8" s="20">
        <f>C8</f>
        <v>4069866.8964074608</v>
      </c>
      <c r="I8" s="175">
        <f>C8*F8</f>
        <v>10051609.280386794</v>
      </c>
      <c r="K8" s="168"/>
    </row>
    <row r="9" spans="1:1027">
      <c r="D9" s="139"/>
    </row>
    <row r="15" spans="1:1027">
      <c r="C15" s="140"/>
    </row>
  </sheetData>
  <mergeCells count="7">
    <mergeCell ref="G1:I1"/>
    <mergeCell ref="B3:G3"/>
    <mergeCell ref="A4:A5"/>
    <mergeCell ref="B4:B5"/>
    <mergeCell ref="C4:C5"/>
    <mergeCell ref="D4:F4"/>
    <mergeCell ref="G4:I4"/>
  </mergeCells>
  <pageMargins left="0.39370078740157483" right="0.51181102362204722" top="0.78740157480314965" bottom="0.78740157480314965" header="0.51181102362204722" footer="0.51181102362204722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 постановление</vt:lpstr>
      <vt:lpstr>Расчет</vt:lpstr>
      <vt:lpstr>Коэффициенты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Нохрина Н.В.</dc:creator>
  <dc:description/>
  <cp:lastModifiedBy>Снегирева Е.В.</cp:lastModifiedBy>
  <cp:revision>246</cp:revision>
  <cp:lastPrinted>2025-10-31T12:07:52Z</cp:lastPrinted>
  <dcterms:created xsi:type="dcterms:W3CDTF">2017-10-20T23:41:04Z</dcterms:created>
  <dcterms:modified xsi:type="dcterms:W3CDTF">2025-12-01T10:16:13Z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