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842\"/>
    </mc:Choice>
  </mc:AlternateContent>
  <bookViews>
    <workbookView xWindow="0" yWindow="0" windowWidth="9570" windowHeight="4170" tabRatio="500"/>
  </bookViews>
  <sheets>
    <sheet name="Sheet1_2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3" i="1" l="1"/>
  <c r="U14" i="1" l="1"/>
  <c r="Q21" i="1"/>
  <c r="T19" i="1"/>
  <c r="S19" i="1"/>
  <c r="S18" i="1"/>
  <c r="S17" i="1"/>
  <c r="S16" i="1"/>
  <c r="S15" i="1"/>
  <c r="S14" i="1"/>
  <c r="S13" i="1"/>
  <c r="S12" i="1"/>
  <c r="S11" i="1"/>
  <c r="S10" i="1"/>
  <c r="S9" i="1"/>
  <c r="S8" i="1"/>
  <c r="O19" i="1"/>
  <c r="U19" i="1" s="1"/>
  <c r="O10" i="1"/>
  <c r="U10" i="1" s="1"/>
  <c r="O12" i="1"/>
  <c r="U12" i="1" s="1"/>
  <c r="O14" i="1"/>
  <c r="M14" i="1"/>
  <c r="N12" i="1"/>
  <c r="M11" i="1"/>
  <c r="M9" i="1"/>
  <c r="N8" i="1"/>
  <c r="F14" i="1"/>
  <c r="F12" i="1"/>
  <c r="F11" i="1"/>
  <c r="F8" i="1"/>
  <c r="U21" i="1" l="1"/>
  <c r="H8" i="1"/>
  <c r="T8" i="1" l="1"/>
  <c r="N13" i="1"/>
  <c r="M10" i="1" l="1"/>
  <c r="F18" i="1"/>
  <c r="H18" i="1" s="1"/>
  <c r="F13" i="1"/>
  <c r="F10" i="1"/>
  <c r="F9" i="1"/>
  <c r="T13" i="1" l="1"/>
  <c r="H11" i="1"/>
  <c r="T11" i="1"/>
  <c r="H10" i="1"/>
  <c r="T10" i="1"/>
  <c r="H9" i="1"/>
  <c r="T9" i="1"/>
  <c r="X25" i="1"/>
  <c r="X22" i="1"/>
  <c r="X20" i="1"/>
  <c r="F20" i="1"/>
  <c r="Y19" i="1"/>
  <c r="X19" i="1"/>
  <c r="W19" i="1"/>
  <c r="W17" i="1"/>
  <c r="T17" i="1"/>
  <c r="F17" i="1"/>
  <c r="W16" i="1"/>
  <c r="T16" i="1"/>
  <c r="F16" i="1"/>
  <c r="W15" i="1"/>
  <c r="T15" i="1"/>
  <c r="F15" i="1"/>
  <c r="Y14" i="1"/>
  <c r="W14" i="1"/>
  <c r="T14" i="1"/>
  <c r="X13" i="1"/>
  <c r="W13" i="1"/>
  <c r="Y12" i="1"/>
  <c r="X12" i="1"/>
  <c r="W12" i="1"/>
  <c r="X11" i="1"/>
  <c r="W11" i="1"/>
  <c r="Y10" i="1"/>
  <c r="Y21" i="1" s="1"/>
  <c r="X10" i="1"/>
  <c r="W10" i="1"/>
  <c r="X9" i="1"/>
  <c r="W9" i="1"/>
  <c r="X8" i="1"/>
  <c r="X21" i="1" s="1"/>
  <c r="X23" i="1" s="1"/>
  <c r="X24" i="1" s="1"/>
  <c r="W8" i="1"/>
  <c r="W21" i="1" s="1"/>
  <c r="W23" i="1" s="1"/>
  <c r="H17" i="1" l="1"/>
  <c r="H14" i="1"/>
  <c r="H15" i="1"/>
  <c r="H16" i="1"/>
  <c r="S20" i="1"/>
  <c r="H20" i="1"/>
  <c r="T20" i="1"/>
  <c r="H12" i="1"/>
  <c r="T12" i="1"/>
  <c r="M19" i="1"/>
  <c r="F19" i="1"/>
  <c r="H19" i="1" l="1"/>
  <c r="S21" i="1"/>
  <c r="S23" i="1" s="1"/>
  <c r="W24" i="1" s="1"/>
  <c r="U23" i="1"/>
  <c r="T21" i="1"/>
  <c r="T23" i="1" s="1"/>
  <c r="Y22" i="1" l="1"/>
</calcChain>
</file>

<file path=xl/sharedStrings.xml><?xml version="1.0" encoding="utf-8"?>
<sst xmlns="http://schemas.openxmlformats.org/spreadsheetml/2006/main" count="79" uniqueCount="57">
  <si>
    <r>
      <rPr>
        <sz val="10"/>
        <rFont val="Times New Roman"/>
        <family val="1"/>
        <charset val="204"/>
      </rPr>
      <t xml:space="preserve">«Приложение №1  к постановлению Администрации  городского округа Жуковский 
</t>
    </r>
    <r>
      <rPr>
        <u/>
        <sz val="10"/>
        <rFont val="Times New Roman"/>
        <family val="1"/>
        <charset val="204"/>
      </rPr>
      <t>От                2021г. № 1461</t>
    </r>
  </si>
  <si>
    <t>Нормативы</t>
  </si>
  <si>
    <t>Отраслевые коэффициенты</t>
  </si>
  <si>
    <t>Человеко/часы</t>
  </si>
  <si>
    <t>объемы финансирования</t>
  </si>
  <si>
    <t xml:space="preserve">№ п/п </t>
  </si>
  <si>
    <t>Наименование муниципальной услуги</t>
  </si>
  <si>
    <t>Номер реестровой записи</t>
  </si>
  <si>
    <t>Условие, отражающее содержание услуги (из общероссийского перечня)</t>
  </si>
  <si>
    <t>Базовый норматив затрат на оказание муниципальной услуги, руб./ед. в т.ч.:</t>
  </si>
  <si>
    <t>ЖДШИ 1</t>
  </si>
  <si>
    <t>ЖДШИ 2</t>
  </si>
  <si>
    <t>Полет</t>
  </si>
  <si>
    <t>ед.измерения</t>
  </si>
  <si>
    <t>Итого</t>
  </si>
  <si>
    <t>затраты на оплату труда работников с начислениями, непосредственно связанными с оказанием муниципальной услуги</t>
  </si>
  <si>
    <t>затраты на коммунальные услуги и содержание недвижимого имущества</t>
  </si>
  <si>
    <t>калькулятор ждши1</t>
  </si>
  <si>
    <t>калькулятор ЖДШИ 2</t>
  </si>
  <si>
    <t>калькулятор Полет</t>
  </si>
  <si>
    <t>Реализация дополнительных предпрофессиональных программ в области искусств</t>
  </si>
  <si>
    <t>живопись</t>
  </si>
  <si>
    <t>руб./чел-час</t>
  </si>
  <si>
    <t>хореографическое творчество</t>
  </si>
  <si>
    <t>фортепиано</t>
  </si>
  <si>
    <t>народные инструменты</t>
  </si>
  <si>
    <t>струнные инструменты</t>
  </si>
  <si>
    <t>духовые и ударные инструменты</t>
  </si>
  <si>
    <t>07А141001001014010002</t>
  </si>
  <si>
    <t>хоровое пение</t>
  </si>
  <si>
    <t>07А141001001016010002</t>
  </si>
  <si>
    <t>музыкальный фольклор</t>
  </si>
  <si>
    <t>декоративно-прикладное творчество</t>
  </si>
  <si>
    <t>07А141001001015010002</t>
  </si>
  <si>
    <t>искусство театра</t>
  </si>
  <si>
    <t>Реализация дополнительных общеразвивающих программ</t>
  </si>
  <si>
    <t>07А151001001001010001</t>
  </si>
  <si>
    <t>художественная</t>
  </si>
  <si>
    <t>804200О.99.0.ББ52АН48000</t>
  </si>
  <si>
    <t>всего субсидия по нормативам</t>
  </si>
  <si>
    <t>+налог на имущество</t>
  </si>
  <si>
    <t>ИТОГО РАСЧЕТ</t>
  </si>
  <si>
    <t xml:space="preserve"> </t>
  </si>
  <si>
    <t xml:space="preserve">выделено на </t>
  </si>
  <si>
    <t>Добавили</t>
  </si>
  <si>
    <t>архитектура</t>
  </si>
  <si>
    <t>07А141001001011010002</t>
  </si>
  <si>
    <t>07А141001001008010002</t>
  </si>
  <si>
    <t>07А141001001012010002</t>
  </si>
  <si>
    <t>07А141001001013010002</t>
  </si>
  <si>
    <t>07А141001001002010002</t>
  </si>
  <si>
    <t>07А141001001010010002</t>
  </si>
  <si>
    <t>07А141001001001010002</t>
  </si>
  <si>
    <t>07А141001001003010002</t>
  </si>
  <si>
    <t>было выделено на 01.01.2026</t>
  </si>
  <si>
    <t>Значения базовых нормативов затрат на оказание муниципальных услуг  дополнительного образования в сфере культуры на 2026 год</t>
  </si>
  <si>
    <t>Приложение №1  к постановлению Администрации  городского округа Жуковский 
от 01.12.2025 № 1842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</si>
</sst>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00"/>
    <numFmt numFmtId="165" formatCode="\ * #,##0.00&quot;    &quot;;\-* #,##0.00&quot;    &quot;;\ * \-??&quot;    &quot;;\ @\ "/>
    <numFmt numFmtId="166" formatCode="#,##0.0"/>
    <numFmt numFmtId="167" formatCode="0.000"/>
    <numFmt numFmtId="168" formatCode="#,##0.0000"/>
  </numFmts>
  <fonts count="18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FFFF"/>
      <name val="Mangal"/>
      <family val="2"/>
      <charset val="204"/>
    </font>
    <font>
      <sz val="10"/>
      <color rgb="FF000000"/>
      <name val="Mangal"/>
      <family val="2"/>
      <charset val="204"/>
    </font>
    <font>
      <sz val="10"/>
      <color rgb="FFCC0000"/>
      <name val="Mangal"/>
      <family val="2"/>
      <charset val="204"/>
    </font>
    <font>
      <sz val="10"/>
      <color rgb="FF808080"/>
      <name val="Mangal"/>
      <family val="2"/>
      <charset val="204"/>
    </font>
    <font>
      <sz val="10"/>
      <color rgb="FF006600"/>
      <name val="Mangal"/>
      <family val="2"/>
      <charset val="204"/>
    </font>
    <font>
      <sz val="10"/>
      <color rgb="FF996600"/>
      <name val="Mangal"/>
      <family val="2"/>
      <charset val="204"/>
    </font>
    <font>
      <sz val="10"/>
      <color rgb="FF333333"/>
      <name val="Mangal"/>
      <family val="2"/>
      <charset val="204"/>
    </font>
    <font>
      <sz val="10"/>
      <name val="Mang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C9211E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C9211E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DCDCDC"/>
      </patternFill>
    </fill>
    <fill>
      <patternFill patternType="solid">
        <fgColor rgb="FFFFCCCC"/>
        <bgColor rgb="FFE6E0EC"/>
      </patternFill>
    </fill>
    <fill>
      <patternFill patternType="solid">
        <fgColor rgb="FFCC0000"/>
        <bgColor rgb="FFC921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E6E0EC"/>
        <bgColor rgb="FFDDDDDD"/>
      </patternFill>
    </fill>
    <fill>
      <patternFill patternType="solid">
        <fgColor rgb="FFDCDCDC"/>
        <bgColor rgb="FFDDDDDD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D700"/>
      </patternFill>
    </fill>
    <fill>
      <patternFill patternType="solid">
        <fgColor theme="0"/>
        <bgColor rgb="FF90EE9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8FBC8F"/>
      </patternFill>
    </fill>
    <fill>
      <patternFill patternType="solid">
        <fgColor theme="4" tint="0.79998168889431442"/>
        <bgColor rgb="FF8FBC8F"/>
      </patternFill>
    </fill>
    <fill>
      <patternFill patternType="solid">
        <fgColor theme="4" tint="0.79998168889431442"/>
        <bgColor rgb="FF33CC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90EE90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5" fontId="1" fillId="0" borderId="0" applyBorder="0" applyProtection="0"/>
    <xf numFmtId="0" fontId="2" fillId="2" borderId="0" applyBorder="0" applyProtection="0"/>
    <xf numFmtId="0" fontId="3" fillId="0" borderId="0" applyBorder="0" applyProtection="0"/>
    <xf numFmtId="0" fontId="2" fillId="3" borderId="0" applyBorder="0" applyProtection="0"/>
    <xf numFmtId="0" fontId="3" fillId="4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3" fillId="0" borderId="0" applyBorder="0" applyProtection="0"/>
    <xf numFmtId="0" fontId="3" fillId="0" borderId="0" applyBorder="0" applyProtection="0"/>
    <xf numFmtId="0" fontId="7" fillId="8" borderId="0" applyBorder="0" applyProtection="0"/>
    <xf numFmtId="0" fontId="8" fillId="8" borderId="1" applyProtection="0"/>
    <xf numFmtId="0" fontId="9" fillId="0" borderId="0" applyBorder="0" applyProtection="0"/>
    <xf numFmtId="0" fontId="9" fillId="0" borderId="0" applyBorder="0" applyProtection="0"/>
    <xf numFmtId="0" fontId="4" fillId="0" borderId="0" applyBorder="0" applyProtection="0"/>
    <xf numFmtId="0" fontId="10" fillId="0" borderId="0"/>
  </cellStyleXfs>
  <cellXfs count="75">
    <xf numFmtId="0" fontId="0" fillId="0" borderId="0" xfId="0"/>
    <xf numFmtId="0" fontId="11" fillId="0" borderId="0" xfId="0" applyFont="1" applyAlignment="1" applyProtection="1"/>
    <xf numFmtId="0" fontId="11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wrapText="1"/>
    </xf>
    <xf numFmtId="0" fontId="0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2" fontId="11" fillId="0" borderId="2" xfId="0" applyNumberFormat="1" applyFont="1" applyBorder="1" applyAlignment="1" applyProtection="1">
      <alignment horizontal="center" vertical="center"/>
    </xf>
    <xf numFmtId="164" fontId="11" fillId="0" borderId="2" xfId="0" applyNumberFormat="1" applyFont="1" applyBorder="1" applyAlignment="1" applyProtection="1">
      <alignment horizontal="center" vertical="center"/>
    </xf>
    <xf numFmtId="4" fontId="11" fillId="0" borderId="2" xfId="0" applyNumberFormat="1" applyFont="1" applyBorder="1" applyAlignment="1" applyProtection="1">
      <alignment horizontal="center" vertical="center"/>
    </xf>
    <xf numFmtId="4" fontId="11" fillId="0" borderId="0" xfId="0" applyNumberFormat="1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11" fillId="9" borderId="0" xfId="0" applyNumberFormat="1" applyFont="1" applyFill="1" applyAlignment="1" applyProtection="1">
      <alignment horizontal="center" vertical="center"/>
    </xf>
    <xf numFmtId="165" fontId="1" fillId="0" borderId="0" xfId="1" applyBorder="1" applyAlignment="1" applyProtection="1"/>
    <xf numFmtId="164" fontId="13" fillId="0" borderId="2" xfId="0" applyNumberFormat="1" applyFont="1" applyBorder="1" applyAlignment="1" applyProtection="1">
      <alignment horizontal="center" vertical="center"/>
    </xf>
    <xf numFmtId="1" fontId="11" fillId="0" borderId="2" xfId="0" applyNumberFormat="1" applyFont="1" applyBorder="1" applyAlignment="1" applyProtection="1">
      <alignment horizontal="center" vertical="center"/>
    </xf>
    <xf numFmtId="166" fontId="11" fillId="0" borderId="2" xfId="0" applyNumberFormat="1" applyFont="1" applyBorder="1" applyAlignment="1" applyProtection="1">
      <alignment horizontal="center" vertical="center"/>
    </xf>
    <xf numFmtId="4" fontId="0" fillId="9" borderId="0" xfId="0" applyNumberFormat="1" applyFill="1" applyAlignment="1" applyProtection="1">
      <alignment horizontal="center" vertical="center"/>
    </xf>
    <xf numFmtId="0" fontId="11" fillId="0" borderId="0" xfId="0" applyFont="1" applyBorder="1" applyAlignment="1" applyProtection="1"/>
    <xf numFmtId="168" fontId="11" fillId="0" borderId="2" xfId="0" applyNumberFormat="1" applyFont="1" applyBorder="1" applyAlignment="1" applyProtection="1">
      <alignment horizontal="center" vertical="center"/>
    </xf>
    <xf numFmtId="0" fontId="11" fillId="0" borderId="2" xfId="0" applyFont="1" applyBorder="1" applyAlignment="1" applyProtection="1"/>
    <xf numFmtId="4" fontId="11" fillId="0" borderId="2" xfId="0" applyNumberFormat="1" applyFont="1" applyBorder="1" applyAlignment="1" applyProtection="1">
      <alignment horizontal="center"/>
    </xf>
    <xf numFmtId="0" fontId="11" fillId="0" borderId="2" xfId="0" applyFont="1" applyBorder="1" applyAlignment="1" applyProtection="1">
      <alignment wrapText="1"/>
    </xf>
    <xf numFmtId="4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top" wrapText="1"/>
    </xf>
    <xf numFmtId="4" fontId="11" fillId="0" borderId="2" xfId="0" applyNumberFormat="1" applyFont="1" applyBorder="1" applyAlignment="1" applyProtection="1"/>
    <xf numFmtId="4" fontId="11" fillId="0" borderId="0" xfId="0" applyNumberFormat="1" applyFont="1" applyAlignment="1" applyProtection="1"/>
    <xf numFmtId="4" fontId="14" fillId="0" borderId="0" xfId="0" applyNumberFormat="1" applyFont="1" applyAlignment="1" applyProtection="1">
      <alignment horizontal="center" vertical="center"/>
    </xf>
    <xf numFmtId="2" fontId="11" fillId="0" borderId="0" xfId="0" applyNumberFormat="1" applyFont="1" applyAlignment="1" applyProtection="1"/>
    <xf numFmtId="0" fontId="11" fillId="10" borderId="2" xfId="0" applyFont="1" applyFill="1" applyBorder="1" applyAlignment="1" applyProtection="1">
      <alignment wrapText="1"/>
    </xf>
    <xf numFmtId="4" fontId="15" fillId="10" borderId="2" xfId="0" applyNumberFormat="1" applyFont="1" applyFill="1" applyBorder="1" applyAlignment="1" applyProtection="1"/>
    <xf numFmtId="0" fontId="15" fillId="0" borderId="2" xfId="0" applyFont="1" applyBorder="1" applyAlignment="1" applyProtection="1">
      <alignment vertical="center" wrapText="1"/>
    </xf>
    <xf numFmtId="4" fontId="15" fillId="0" borderId="2" xfId="0" applyNumberFormat="1" applyFont="1" applyBorder="1" applyAlignment="1" applyProtection="1">
      <alignment vertical="center"/>
    </xf>
    <xf numFmtId="4" fontId="16" fillId="0" borderId="0" xfId="0" applyNumberFormat="1" applyFont="1" applyAlignment="1" applyProtection="1">
      <alignment horizontal="center" vertical="center"/>
    </xf>
    <xf numFmtId="164" fontId="11" fillId="0" borderId="0" xfId="0" applyNumberFormat="1" applyFont="1" applyAlignment="1" applyProtection="1"/>
    <xf numFmtId="4" fontId="16" fillId="0" borderId="2" xfId="0" applyNumberFormat="1" applyFont="1" applyBorder="1" applyAlignment="1" applyProtection="1"/>
    <xf numFmtId="4" fontId="16" fillId="0" borderId="0" xfId="0" applyNumberFormat="1" applyFont="1" applyAlignment="1" applyProtection="1"/>
    <xf numFmtId="4" fontId="11" fillId="11" borderId="2" xfId="0" applyNumberFormat="1" applyFont="1" applyFill="1" applyBorder="1" applyAlignment="1" applyProtection="1">
      <alignment horizontal="center" vertical="center"/>
    </xf>
    <xf numFmtId="4" fontId="11" fillId="12" borderId="2" xfId="0" applyNumberFormat="1" applyFont="1" applyFill="1" applyBorder="1" applyAlignment="1" applyProtection="1">
      <alignment horizontal="center" vertical="center"/>
    </xf>
    <xf numFmtId="167" fontId="11" fillId="12" borderId="2" xfId="0" applyNumberFormat="1" applyFont="1" applyFill="1" applyBorder="1" applyAlignment="1" applyProtection="1">
      <alignment horizontal="center" vertical="center"/>
    </xf>
    <xf numFmtId="164" fontId="11" fillId="13" borderId="2" xfId="0" applyNumberFormat="1" applyFont="1" applyFill="1" applyBorder="1" applyAlignment="1" applyProtection="1">
      <alignment horizontal="center" vertical="center"/>
    </xf>
    <xf numFmtId="4" fontId="15" fillId="13" borderId="2" xfId="0" applyNumberFormat="1" applyFont="1" applyFill="1" applyBorder="1" applyAlignment="1" applyProtection="1">
      <alignment vertical="center"/>
    </xf>
    <xf numFmtId="4" fontId="15" fillId="13" borderId="2" xfId="0" applyNumberFormat="1" applyFont="1" applyFill="1" applyBorder="1" applyAlignment="1" applyProtection="1">
      <alignment horizontal="center" vertical="center"/>
    </xf>
    <xf numFmtId="4" fontId="16" fillId="20" borderId="2" xfId="0" applyNumberFormat="1" applyFont="1" applyFill="1" applyBorder="1" applyAlignment="1" applyProtection="1"/>
    <xf numFmtId="0" fontId="15" fillId="13" borderId="2" xfId="0" applyFont="1" applyFill="1" applyBorder="1" applyAlignment="1" applyProtection="1">
      <alignment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/>
    </xf>
    <xf numFmtId="2" fontId="11" fillId="20" borderId="3" xfId="0" applyNumberFormat="1" applyFont="1" applyFill="1" applyBorder="1" applyAlignment="1" applyProtection="1">
      <alignment horizontal="center" vertical="center" wrapText="1"/>
    </xf>
    <xf numFmtId="2" fontId="13" fillId="20" borderId="3" xfId="0" applyNumberFormat="1" applyFont="1" applyFill="1" applyBorder="1" applyAlignment="1" applyProtection="1">
      <alignment horizontal="center" vertical="center" wrapText="1"/>
    </xf>
    <xf numFmtId="2" fontId="17" fillId="0" borderId="2" xfId="0" applyNumberFormat="1" applyFont="1" applyBorder="1" applyAlignment="1" applyProtection="1">
      <alignment horizontal="center" vertical="center"/>
    </xf>
    <xf numFmtId="2" fontId="17" fillId="16" borderId="2" xfId="0" applyNumberFormat="1" applyFont="1" applyFill="1" applyBorder="1" applyAlignment="1" applyProtection="1">
      <alignment horizontal="center" vertical="center"/>
    </xf>
    <xf numFmtId="2" fontId="17" fillId="14" borderId="2" xfId="0" applyNumberFormat="1" applyFont="1" applyFill="1" applyBorder="1" applyAlignment="1" applyProtection="1">
      <alignment horizontal="center" vertical="center"/>
    </xf>
    <xf numFmtId="2" fontId="17" fillId="18" borderId="2" xfId="0" applyNumberFormat="1" applyFont="1" applyFill="1" applyBorder="1" applyAlignment="1" applyProtection="1">
      <alignment horizontal="center" vertical="center"/>
    </xf>
    <xf numFmtId="2" fontId="17" fillId="19" borderId="2" xfId="0" applyNumberFormat="1" applyFont="1" applyFill="1" applyBorder="1" applyAlignment="1" applyProtection="1">
      <alignment horizontal="center" vertical="center"/>
    </xf>
    <xf numFmtId="2" fontId="15" fillId="14" borderId="2" xfId="0" applyNumberFormat="1" applyFont="1" applyFill="1" applyBorder="1" applyAlignment="1" applyProtection="1">
      <alignment horizontal="center" vertical="center"/>
    </xf>
    <xf numFmtId="2" fontId="15" fillId="15" borderId="2" xfId="0" applyNumberFormat="1" applyFont="1" applyFill="1" applyBorder="1" applyAlignment="1" applyProtection="1">
      <alignment horizontal="center" vertical="center"/>
    </xf>
    <xf numFmtId="2" fontId="15" fillId="17" borderId="2" xfId="0" applyNumberFormat="1" applyFont="1" applyFill="1" applyBorder="1" applyAlignment="1" applyProtection="1">
      <alignment horizontal="center" vertical="center"/>
    </xf>
    <xf numFmtId="2" fontId="15" fillId="18" borderId="2" xfId="0" applyNumberFormat="1" applyFont="1" applyFill="1" applyBorder="1" applyAlignment="1" applyProtection="1">
      <alignment horizontal="center" vertical="center"/>
    </xf>
    <xf numFmtId="2" fontId="15" fillId="0" borderId="2" xfId="0" applyNumberFormat="1" applyFont="1" applyBorder="1" applyAlignment="1" applyProtection="1">
      <alignment horizontal="center" vertical="center"/>
    </xf>
    <xf numFmtId="2" fontId="15" fillId="20" borderId="2" xfId="0" applyNumberFormat="1" applyFont="1" applyFill="1" applyBorder="1" applyAlignment="1" applyProtection="1">
      <alignment horizontal="center" vertical="center"/>
    </xf>
    <xf numFmtId="2" fontId="17" fillId="20" borderId="2" xfId="0" applyNumberFormat="1" applyFont="1" applyFill="1" applyBorder="1" applyAlignment="1" applyProtection="1">
      <alignment horizontal="center" vertical="center"/>
    </xf>
    <xf numFmtId="2" fontId="17" fillId="17" borderId="2" xfId="0" applyNumberFormat="1" applyFont="1" applyFill="1" applyBorder="1" applyAlignment="1" applyProtection="1">
      <alignment horizontal="center" vertical="center"/>
    </xf>
    <xf numFmtId="2" fontId="17" fillId="21" borderId="4" xfId="0" applyNumberFormat="1" applyFont="1" applyFill="1" applyBorder="1" applyAlignment="1" applyProtection="1">
      <alignment horizontal="center" vertical="center"/>
    </xf>
    <xf numFmtId="4" fontId="11" fillId="2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</cellXfs>
  <cellStyles count="18">
    <cellStyle name="Accent 1 13" xfId="2"/>
    <cellStyle name="Accent 12" xfId="3"/>
    <cellStyle name="Accent 2 14" xfId="4"/>
    <cellStyle name="Accent 3 15" xfId="5"/>
    <cellStyle name="Bad 9" xfId="6"/>
    <cellStyle name="Error 11" xfId="7"/>
    <cellStyle name="Footnote 5" xfId="8"/>
    <cellStyle name="Good 7" xfId="9"/>
    <cellStyle name="Heading 1 1" xfId="10"/>
    <cellStyle name="Heading 2 2" xfId="11"/>
    <cellStyle name="Neutral 8" xfId="12"/>
    <cellStyle name="Note 4" xfId="13"/>
    <cellStyle name="Status 6" xfId="14"/>
    <cellStyle name="Text 3" xfId="15"/>
    <cellStyle name="Warning 10" xfId="16"/>
    <cellStyle name="Обычный" xfId="0" builtinId="0"/>
    <cellStyle name="Обычный 2" xfId="17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E6E0EC"/>
      <rgbColor rgb="FF660066"/>
      <rgbColor rgb="FFFF8080"/>
      <rgbColor rgb="FF0066CC"/>
      <rgbColor rgb="FFDCDCDC"/>
      <rgbColor rgb="FF000080"/>
      <rgbColor rgb="FFFF00FF"/>
      <rgbColor rgb="FFADFF2F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0EE90"/>
      <rgbColor rgb="FFFF99CC"/>
      <rgbColor rgb="FFCC99FF"/>
      <rgbColor rgb="FFFFCCCC"/>
      <rgbColor rgb="FF3366FF"/>
      <rgbColor rgb="FF33CCCC"/>
      <rgbColor rgb="FF92D050"/>
      <rgbColor rgb="FFFFD700"/>
      <rgbColor rgb="FFFF9900"/>
      <rgbColor rgb="FFFF6600"/>
      <rgbColor rgb="FF666699"/>
      <rgbColor rgb="FF8FBC8F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7"/>
  <sheetViews>
    <sheetView tabSelected="1" zoomScale="105" zoomScaleNormal="105" workbookViewId="0">
      <selection activeCell="G1" sqref="G1:H1"/>
    </sheetView>
  </sheetViews>
  <sheetFormatPr defaultColWidth="11.85546875" defaultRowHeight="12.75"/>
  <cols>
    <col min="1" max="1" width="9.5703125" style="1" customWidth="1"/>
    <col min="2" max="2" width="36.140625" style="1" customWidth="1"/>
    <col min="3" max="3" width="33.7109375" style="1" customWidth="1"/>
    <col min="4" max="4" width="22.42578125" style="1" customWidth="1"/>
    <col min="5" max="5" width="13.7109375" style="1" customWidth="1"/>
    <col min="6" max="6" width="10.5703125" style="1" customWidth="1"/>
    <col min="7" max="7" width="16.28515625" style="1" customWidth="1"/>
    <col min="8" max="8" width="14.7109375" style="1" customWidth="1"/>
    <col min="9" max="9" width="11.85546875" style="1" customWidth="1"/>
    <col min="10" max="10" width="19" style="1" hidden="1" customWidth="1"/>
    <col min="11" max="14" width="11.85546875" style="1" hidden="1" customWidth="1"/>
    <col min="15" max="15" width="13.42578125" style="1" hidden="1" customWidth="1"/>
    <col min="16" max="16" width="15.28515625" style="1" hidden="1" customWidth="1"/>
    <col min="17" max="18" width="11.85546875" style="1" hidden="1" customWidth="1"/>
    <col min="19" max="19" width="13.140625" style="1" hidden="1" customWidth="1"/>
    <col min="20" max="20" width="14.140625" style="1" hidden="1" customWidth="1"/>
    <col min="21" max="21" width="13.28515625" style="1" hidden="1" customWidth="1"/>
    <col min="22" max="22" width="13.5703125" style="1" hidden="1" customWidth="1"/>
    <col min="23" max="23" width="16.28515625" style="2" hidden="1" customWidth="1"/>
    <col min="24" max="24" width="13.42578125" style="2" hidden="1" customWidth="1"/>
    <col min="25" max="25" width="11.85546875" style="2" hidden="1" customWidth="1"/>
    <col min="26" max="26" width="15.5703125" style="1" customWidth="1"/>
    <col min="27" max="1023" width="11.85546875" style="1"/>
    <col min="1024" max="1025" width="11.5703125" style="3" customWidth="1"/>
  </cols>
  <sheetData>
    <row r="1" spans="1:26" ht="72.400000000000006" customHeight="1">
      <c r="G1" s="67" t="s">
        <v>56</v>
      </c>
      <c r="H1" s="67"/>
    </row>
    <row r="2" spans="1:26" ht="44.85" hidden="1" customHeight="1">
      <c r="G2" s="67" t="s">
        <v>0</v>
      </c>
      <c r="H2" s="67"/>
    </row>
    <row r="3" spans="1:26" ht="23.45" customHeight="1">
      <c r="A3" s="68" t="s">
        <v>55</v>
      </c>
      <c r="B3" s="68"/>
      <c r="C3" s="68"/>
      <c r="D3" s="68"/>
      <c r="E3" s="68"/>
      <c r="F3" s="68"/>
      <c r="G3" s="68"/>
      <c r="H3" s="68"/>
    </row>
    <row r="4" spans="1:26">
      <c r="J4" s="69" t="s">
        <v>1</v>
      </c>
      <c r="K4" s="69"/>
      <c r="L4" s="4"/>
      <c r="M4" s="69" t="s">
        <v>2</v>
      </c>
      <c r="N4" s="69"/>
      <c r="O4" s="69"/>
      <c r="P4" s="69" t="s">
        <v>3</v>
      </c>
      <c r="Q4" s="69"/>
      <c r="R4" s="69"/>
      <c r="S4" s="69" t="s">
        <v>4</v>
      </c>
      <c r="T4" s="69"/>
      <c r="U4" s="69"/>
    </row>
    <row r="5" spans="1:26" ht="31.9" customHeight="1">
      <c r="A5" s="70" t="s">
        <v>5</v>
      </c>
      <c r="B5" s="70" t="s">
        <v>6</v>
      </c>
      <c r="C5" s="70" t="s">
        <v>7</v>
      </c>
      <c r="D5" s="70" t="s">
        <v>8</v>
      </c>
      <c r="E5" s="70" t="s">
        <v>9</v>
      </c>
      <c r="F5" s="70"/>
      <c r="G5" s="70"/>
      <c r="H5" s="70"/>
      <c r="J5" s="69" t="s">
        <v>10</v>
      </c>
      <c r="K5" s="69" t="s">
        <v>11</v>
      </c>
      <c r="L5" s="71" t="s">
        <v>12</v>
      </c>
      <c r="M5" s="69" t="s">
        <v>10</v>
      </c>
      <c r="N5" s="69" t="s">
        <v>11</v>
      </c>
      <c r="O5" s="69" t="s">
        <v>12</v>
      </c>
      <c r="P5" s="69" t="s">
        <v>10</v>
      </c>
      <c r="Q5" s="69" t="s">
        <v>11</v>
      </c>
      <c r="R5" s="69" t="s">
        <v>12</v>
      </c>
      <c r="S5" s="69" t="s">
        <v>10</v>
      </c>
      <c r="T5" s="69" t="s">
        <v>11</v>
      </c>
      <c r="U5" s="69" t="s">
        <v>12</v>
      </c>
    </row>
    <row r="6" spans="1:26" ht="12.75" customHeight="1">
      <c r="A6" s="70"/>
      <c r="B6" s="70"/>
      <c r="C6" s="70"/>
      <c r="D6" s="70"/>
      <c r="E6" s="70" t="s">
        <v>13</v>
      </c>
      <c r="F6" s="70" t="s">
        <v>14</v>
      </c>
      <c r="G6" s="70" t="s">
        <v>15</v>
      </c>
      <c r="H6" s="70" t="s">
        <v>16</v>
      </c>
      <c r="J6" s="69"/>
      <c r="K6" s="69"/>
      <c r="L6" s="71"/>
      <c r="M6" s="69"/>
      <c r="N6" s="69"/>
      <c r="O6" s="69"/>
      <c r="P6" s="69"/>
      <c r="Q6" s="69"/>
      <c r="R6" s="69"/>
      <c r="S6" s="69"/>
      <c r="T6" s="69"/>
      <c r="U6" s="69"/>
    </row>
    <row r="7" spans="1:26" ht="86.25" customHeight="1" thickBot="1">
      <c r="A7" s="70"/>
      <c r="B7" s="70"/>
      <c r="C7" s="70"/>
      <c r="D7" s="70"/>
      <c r="E7" s="70"/>
      <c r="F7" s="70"/>
      <c r="G7" s="70"/>
      <c r="H7" s="70"/>
      <c r="I7" s="6"/>
      <c r="J7" s="69"/>
      <c r="K7" s="69"/>
      <c r="L7" s="71"/>
      <c r="M7" s="69"/>
      <c r="N7" s="69"/>
      <c r="O7" s="69"/>
      <c r="P7" s="69"/>
      <c r="Q7" s="69"/>
      <c r="R7" s="69"/>
      <c r="S7" s="69"/>
      <c r="T7" s="69"/>
      <c r="U7" s="69"/>
      <c r="W7" s="7" t="s">
        <v>17</v>
      </c>
      <c r="X7" s="8" t="s">
        <v>18</v>
      </c>
      <c r="Y7" s="8" t="s">
        <v>19</v>
      </c>
    </row>
    <row r="8" spans="1:26" ht="25.5" customHeight="1">
      <c r="A8" s="72">
        <v>1</v>
      </c>
      <c r="B8" s="72" t="s">
        <v>20</v>
      </c>
      <c r="C8" s="48" t="s">
        <v>46</v>
      </c>
      <c r="D8" s="5" t="s">
        <v>21</v>
      </c>
      <c r="E8" s="5" t="s">
        <v>22</v>
      </c>
      <c r="F8" s="50">
        <f>J8</f>
        <v>111.31930844276248</v>
      </c>
      <c r="G8" s="51">
        <v>85.33</v>
      </c>
      <c r="H8" s="51">
        <f>F8-G8</f>
        <v>25.989308442762479</v>
      </c>
      <c r="I8" s="2"/>
      <c r="J8" s="65">
        <v>111.31930844276248</v>
      </c>
      <c r="K8" s="62">
        <v>125.75314019588811</v>
      </c>
      <c r="L8" s="9"/>
      <c r="M8" s="10">
        <v>1</v>
      </c>
      <c r="N8" s="43">
        <f>K8/J8</f>
        <v>1.1296615291187075</v>
      </c>
      <c r="O8" s="10">
        <v>0</v>
      </c>
      <c r="P8" s="40">
        <v>27346.499999912303</v>
      </c>
      <c r="Q8" s="11">
        <v>27462.600000000002</v>
      </c>
      <c r="R8" s="4">
        <v>0</v>
      </c>
      <c r="S8" s="11">
        <f t="shared" ref="S8:S17" si="0">F8*M8*P8</f>
        <v>3044193.4683202417</v>
      </c>
      <c r="T8" s="66">
        <f t="shared" ref="T8:T13" si="1">F8*N8*Q8</f>
        <v>3453508.1879435969</v>
      </c>
      <c r="U8" s="11"/>
      <c r="V8" s="12"/>
      <c r="W8" s="13">
        <f>104.13*26264.2</f>
        <v>2734891.1460000002</v>
      </c>
      <c r="X8" s="14">
        <f>104.13*1.4711747*27462.6</f>
        <v>4207089.6575879883</v>
      </c>
      <c r="Y8" s="13">
        <v>0</v>
      </c>
      <c r="Z8" s="15"/>
    </row>
    <row r="9" spans="1:26" ht="38.25" customHeight="1">
      <c r="A9" s="73"/>
      <c r="B9" s="73"/>
      <c r="C9" s="48" t="s">
        <v>47</v>
      </c>
      <c r="D9" s="5" t="s">
        <v>23</v>
      </c>
      <c r="E9" s="5" t="s">
        <v>22</v>
      </c>
      <c r="F9" s="50">
        <f>K9</f>
        <v>108.80044651072066</v>
      </c>
      <c r="G9" s="50">
        <v>82.19</v>
      </c>
      <c r="H9" s="51">
        <f t="shared" ref="H9:H20" si="2">F9-G9</f>
        <v>26.610446510720664</v>
      </c>
      <c r="I9" s="2"/>
      <c r="J9" s="52">
        <v>126.76621797312346</v>
      </c>
      <c r="K9" s="58">
        <v>108.80044651072066</v>
      </c>
      <c r="L9" s="9"/>
      <c r="M9" s="10">
        <f>J9/K9</f>
        <v>1.165125898271314</v>
      </c>
      <c r="N9" s="43">
        <v>1</v>
      </c>
      <c r="O9" s="10">
        <v>0</v>
      </c>
      <c r="P9" s="40">
        <v>44882.650001705995</v>
      </c>
      <c r="Q9" s="11">
        <v>157786.85999999999</v>
      </c>
      <c r="R9" s="4">
        <v>0</v>
      </c>
      <c r="S9" s="11">
        <f t="shared" si="0"/>
        <v>5689603.7933276724</v>
      </c>
      <c r="T9" s="66">
        <f t="shared" si="1"/>
        <v>17167280.821524568</v>
      </c>
      <c r="U9" s="11"/>
      <c r="V9" s="12"/>
      <c r="W9" s="13">
        <f>88.92*1.6641915*43092</f>
        <v>6376750.2032925598</v>
      </c>
      <c r="X9" s="14">
        <f>88.92*117286.29</f>
        <v>10429096.9068</v>
      </c>
      <c r="Y9" s="12">
        <v>0</v>
      </c>
    </row>
    <row r="10" spans="1:26" ht="28.5" customHeight="1">
      <c r="A10" s="73"/>
      <c r="B10" s="73"/>
      <c r="C10" s="48" t="s">
        <v>48</v>
      </c>
      <c r="D10" s="5" t="s">
        <v>24</v>
      </c>
      <c r="E10" s="5" t="s">
        <v>22</v>
      </c>
      <c r="F10" s="50">
        <f>K10</f>
        <v>549.51954426753173</v>
      </c>
      <c r="G10" s="51">
        <v>415.08</v>
      </c>
      <c r="H10" s="51">
        <f t="shared" si="2"/>
        <v>134.43954426753174</v>
      </c>
      <c r="I10" s="2"/>
      <c r="J10" s="53">
        <v>601.77832810145469</v>
      </c>
      <c r="K10" s="57">
        <v>549.51954426753173</v>
      </c>
      <c r="L10" s="9">
        <v>211.60605826641694</v>
      </c>
      <c r="M10" s="10">
        <f>J10/K10</f>
        <v>1.0950990449367548</v>
      </c>
      <c r="N10" s="43">
        <v>1</v>
      </c>
      <c r="O10" s="10">
        <f>L10/K10</f>
        <v>0.385074672000014</v>
      </c>
      <c r="P10" s="40">
        <v>16907.37499968</v>
      </c>
      <c r="Q10" s="40">
        <v>27373.5</v>
      </c>
      <c r="R10" s="4">
        <v>40939.800000000003</v>
      </c>
      <c r="S10" s="11">
        <f t="shared" si="0"/>
        <v>10174491.859891765</v>
      </c>
      <c r="T10" s="66">
        <f t="shared" si="1"/>
        <v>15042273.24500728</v>
      </c>
      <c r="U10" s="11">
        <f>F10*O10*R10</f>
        <v>8663109.7042154577</v>
      </c>
      <c r="V10" s="12"/>
      <c r="W10" s="13">
        <f>518.96*16906.1</f>
        <v>8773589.6559999995</v>
      </c>
      <c r="X10" s="12">
        <f>518.96*1.1472711*22200.75</f>
        <v>13218055.924100744</v>
      </c>
      <c r="Y10" s="14">
        <f>518.96*0.3111037*39583.5</f>
        <v>6390770.964412692</v>
      </c>
    </row>
    <row r="11" spans="1:26" ht="21.75" customHeight="1">
      <c r="A11" s="73"/>
      <c r="B11" s="73"/>
      <c r="C11" s="48" t="s">
        <v>49</v>
      </c>
      <c r="D11" s="5" t="s">
        <v>25</v>
      </c>
      <c r="E11" s="5" t="s">
        <v>22</v>
      </c>
      <c r="F11" s="50">
        <f>K11</f>
        <v>482.17888242473123</v>
      </c>
      <c r="G11" s="51">
        <v>364.22</v>
      </c>
      <c r="H11" s="51">
        <f t="shared" si="2"/>
        <v>117.9588824247312</v>
      </c>
      <c r="I11" s="2"/>
      <c r="J11" s="63">
        <v>550.97969613483372</v>
      </c>
      <c r="K11" s="60">
        <v>482.17888242473123</v>
      </c>
      <c r="L11" s="9"/>
      <c r="M11" s="16">
        <f>J11/K11</f>
        <v>1.1426873225225544</v>
      </c>
      <c r="N11" s="43">
        <v>1</v>
      </c>
      <c r="O11" s="10">
        <v>0</v>
      </c>
      <c r="P11" s="40">
        <v>17476.687499304</v>
      </c>
      <c r="Q11" s="11">
        <v>29937.599999999999</v>
      </c>
      <c r="R11" s="4">
        <v>0</v>
      </c>
      <c r="S11" s="11">
        <f t="shared" si="0"/>
        <v>9629299.967809964</v>
      </c>
      <c r="T11" s="66">
        <f t="shared" si="1"/>
        <v>14435278.510478633</v>
      </c>
      <c r="U11" s="11"/>
      <c r="V11" s="12"/>
      <c r="W11" s="13">
        <f>263.96*1.5619454*17692.3</f>
        <v>7294377.966246862</v>
      </c>
      <c r="X11" s="12">
        <f>263.96*31724.55</f>
        <v>8374012.2179999994</v>
      </c>
      <c r="Y11" s="12">
        <v>0</v>
      </c>
    </row>
    <row r="12" spans="1:26" ht="20.25" customHeight="1">
      <c r="A12" s="73"/>
      <c r="B12" s="73"/>
      <c r="C12" s="48" t="s">
        <v>50</v>
      </c>
      <c r="D12" s="5" t="s">
        <v>26</v>
      </c>
      <c r="E12" s="5" t="s">
        <v>22</v>
      </c>
      <c r="F12" s="50">
        <f>J12</f>
        <v>623.72747572910066</v>
      </c>
      <c r="G12" s="51">
        <v>478.15</v>
      </c>
      <c r="H12" s="51">
        <f t="shared" si="2"/>
        <v>145.57747572910068</v>
      </c>
      <c r="I12" s="2"/>
      <c r="J12" s="54">
        <v>623.72747572910066</v>
      </c>
      <c r="K12" s="59">
        <v>912.24041386875547</v>
      </c>
      <c r="L12" s="9">
        <v>144.74696882115097</v>
      </c>
      <c r="M12" s="10">
        <v>1</v>
      </c>
      <c r="N12" s="43">
        <f>K12/J12</f>
        <v>1.4625624962286616</v>
      </c>
      <c r="O12" s="10">
        <f>L12/J12</f>
        <v>0.23206764885890316</v>
      </c>
      <c r="P12" s="40">
        <v>22560.374997930001</v>
      </c>
      <c r="Q12" s="11">
        <v>8078.4</v>
      </c>
      <c r="R12" s="4">
        <v>5387.25</v>
      </c>
      <c r="S12" s="11">
        <f t="shared" si="0"/>
        <v>14071525.748960795</v>
      </c>
      <c r="T12" s="66">
        <f t="shared" si="1"/>
        <v>7369442.9593973542</v>
      </c>
      <c r="U12" s="11">
        <f>F12*O12*R12</f>
        <v>779788.10778174561</v>
      </c>
      <c r="V12" s="12"/>
      <c r="W12" s="13">
        <f>536.96*1.0772333*22828</f>
        <v>13204427.268507905</v>
      </c>
      <c r="X12" s="12">
        <f>536.96*10791</f>
        <v>5794335.3600000003</v>
      </c>
      <c r="Y12" s="14">
        <f>536.96*0.2868973*4567.2</f>
        <v>703588.00348277774</v>
      </c>
    </row>
    <row r="13" spans="1:26" ht="25.5">
      <c r="A13" s="73"/>
      <c r="B13" s="73"/>
      <c r="C13" s="48" t="s">
        <v>51</v>
      </c>
      <c r="D13" s="5" t="s">
        <v>27</v>
      </c>
      <c r="E13" s="5" t="s">
        <v>22</v>
      </c>
      <c r="F13" s="50">
        <f t="shared" ref="F13:F18" si="3">J13</f>
        <v>596.97482947573803</v>
      </c>
      <c r="G13" s="51">
        <v>457.64</v>
      </c>
      <c r="H13" s="51">
        <f>F13-G13</f>
        <v>139.33482947573805</v>
      </c>
      <c r="I13" s="2"/>
      <c r="J13" s="54">
        <v>596.97482947573803</v>
      </c>
      <c r="K13" s="59">
        <v>620.32348143075365</v>
      </c>
      <c r="L13" s="17"/>
      <c r="M13" s="10">
        <v>1</v>
      </c>
      <c r="N13" s="43">
        <f>K13/J13</f>
        <v>1.0391116187855363</v>
      </c>
      <c r="O13" s="10">
        <v>0</v>
      </c>
      <c r="P13" s="40">
        <v>25773.187501083001</v>
      </c>
      <c r="Q13" s="11">
        <v>11880</v>
      </c>
      <c r="R13" s="4">
        <v>0</v>
      </c>
      <c r="S13" s="11">
        <f t="shared" si="0"/>
        <v>15385944.213505248</v>
      </c>
      <c r="T13" s="66">
        <f t="shared" si="1"/>
        <v>7369442.9593973532</v>
      </c>
      <c r="U13" s="11"/>
      <c r="V13" s="12"/>
      <c r="W13" s="13">
        <f>443.54*1.3084768*27376.6</f>
        <v>15888332.850375794</v>
      </c>
      <c r="X13" s="12">
        <f>443.54*16602.3</f>
        <v>7363784.142</v>
      </c>
      <c r="Y13" s="12"/>
    </row>
    <row r="14" spans="1:26" ht="23.25" customHeight="1">
      <c r="A14" s="73"/>
      <c r="B14" s="73"/>
      <c r="C14" s="48" t="s">
        <v>28</v>
      </c>
      <c r="D14" s="5" t="s">
        <v>29</v>
      </c>
      <c r="E14" s="5" t="s">
        <v>22</v>
      </c>
      <c r="F14" s="50">
        <f>K14</f>
        <v>131.74971952063058</v>
      </c>
      <c r="G14" s="51">
        <v>99.54</v>
      </c>
      <c r="H14" s="51">
        <f t="shared" si="2"/>
        <v>32.209719520630571</v>
      </c>
      <c r="I14" s="2"/>
      <c r="J14" s="64">
        <v>412.15740471733915</v>
      </c>
      <c r="K14" s="57">
        <v>131.74971952063058</v>
      </c>
      <c r="L14" s="9">
        <v>125.72096585763857</v>
      </c>
      <c r="M14" s="10">
        <f>J14/K14</f>
        <v>3.1283361074085607</v>
      </c>
      <c r="N14" s="43">
        <v>1</v>
      </c>
      <c r="O14" s="10">
        <f>L14/K14</f>
        <v>0.9542408614991551</v>
      </c>
      <c r="P14" s="40">
        <v>56545.875004014</v>
      </c>
      <c r="Q14" s="11">
        <v>8160</v>
      </c>
      <c r="R14" s="4">
        <v>87964.800000000003</v>
      </c>
      <c r="S14" s="11">
        <f t="shared" si="0"/>
        <v>23305801.089125469</v>
      </c>
      <c r="T14" s="66">
        <f>K14*Q14</f>
        <v>1075077.7112883455</v>
      </c>
      <c r="U14" s="11">
        <f>F14*O14*R14</f>
        <v>11059019.617474006</v>
      </c>
      <c r="V14" s="12"/>
      <c r="W14" s="13">
        <f>413.51*52716.6</f>
        <v>21798841.265999999</v>
      </c>
      <c r="X14" s="12">
        <v>0</v>
      </c>
      <c r="Y14" s="14">
        <f>413.51*0.3369553*78262.8</f>
        <v>10904699.192701871</v>
      </c>
    </row>
    <row r="15" spans="1:26" ht="37.5" customHeight="1">
      <c r="A15" s="73"/>
      <c r="B15" s="73"/>
      <c r="C15" s="48" t="s">
        <v>30</v>
      </c>
      <c r="D15" s="5" t="s">
        <v>31</v>
      </c>
      <c r="E15" s="5" t="s">
        <v>22</v>
      </c>
      <c r="F15" s="50">
        <f t="shared" si="3"/>
        <v>482.06696752492974</v>
      </c>
      <c r="G15" s="51">
        <v>369.55</v>
      </c>
      <c r="H15" s="51">
        <f t="shared" si="2"/>
        <v>112.51696752492973</v>
      </c>
      <c r="I15" s="2"/>
      <c r="J15" s="56">
        <v>482.06696752492974</v>
      </c>
      <c r="K15" s="61">
        <v>0</v>
      </c>
      <c r="L15" s="9"/>
      <c r="M15" s="10">
        <v>1</v>
      </c>
      <c r="N15" s="43">
        <v>0</v>
      </c>
      <c r="O15" s="10">
        <v>0</v>
      </c>
      <c r="P15" s="40">
        <v>8773.3125003480018</v>
      </c>
      <c r="Q15" s="11">
        <v>0</v>
      </c>
      <c r="R15" s="4">
        <v>0</v>
      </c>
      <c r="S15" s="11">
        <f t="shared" si="0"/>
        <v>4229324.1521913204</v>
      </c>
      <c r="T15" s="11">
        <f>K15*Q15</f>
        <v>0</v>
      </c>
      <c r="U15" s="11"/>
      <c r="V15" s="2"/>
      <c r="W15" s="13">
        <f>399.8*8608.9</f>
        <v>3441838.2199999997</v>
      </c>
      <c r="X15" s="12">
        <v>0</v>
      </c>
      <c r="Y15" s="12">
        <v>0</v>
      </c>
    </row>
    <row r="16" spans="1:26" ht="23.85" customHeight="1">
      <c r="A16" s="73"/>
      <c r="B16" s="73"/>
      <c r="C16" s="48" t="s">
        <v>52</v>
      </c>
      <c r="D16" s="5" t="s">
        <v>32</v>
      </c>
      <c r="E16" s="5" t="s">
        <v>22</v>
      </c>
      <c r="F16" s="50">
        <f t="shared" si="3"/>
        <v>109.61709696288349</v>
      </c>
      <c r="G16" s="51">
        <v>84.02</v>
      </c>
      <c r="H16" s="51">
        <f t="shared" si="2"/>
        <v>25.597096962883498</v>
      </c>
      <c r="I16" s="2"/>
      <c r="J16" s="55">
        <v>109.61709696288349</v>
      </c>
      <c r="K16" s="61">
        <v>0</v>
      </c>
      <c r="L16" s="9"/>
      <c r="M16" s="10">
        <v>1</v>
      </c>
      <c r="N16" s="43">
        <v>0</v>
      </c>
      <c r="O16" s="10">
        <v>0</v>
      </c>
      <c r="P16" s="40">
        <v>23886.500001239001</v>
      </c>
      <c r="Q16" s="11">
        <v>0</v>
      </c>
      <c r="R16" s="4">
        <v>0</v>
      </c>
      <c r="S16" s="11">
        <f t="shared" si="0"/>
        <v>2618368.7867397321</v>
      </c>
      <c r="T16" s="11">
        <f>K16*Q16</f>
        <v>0</v>
      </c>
      <c r="U16" s="11"/>
      <c r="V16" s="2"/>
      <c r="W16" s="13">
        <f>90.41*24147.6</f>
        <v>2183184.5159999998</v>
      </c>
      <c r="X16" s="12">
        <v>0</v>
      </c>
      <c r="Y16" s="12">
        <v>0</v>
      </c>
    </row>
    <row r="17" spans="1:25" ht="23.85" customHeight="1">
      <c r="A17" s="73"/>
      <c r="B17" s="73"/>
      <c r="C17" s="48" t="s">
        <v>33</v>
      </c>
      <c r="D17" s="5" t="s">
        <v>34</v>
      </c>
      <c r="E17" s="5" t="s">
        <v>22</v>
      </c>
      <c r="F17" s="50">
        <f t="shared" si="3"/>
        <v>96.030407585107852</v>
      </c>
      <c r="G17" s="51">
        <v>73.61</v>
      </c>
      <c r="H17" s="51">
        <f t="shared" si="2"/>
        <v>22.420407585107853</v>
      </c>
      <c r="I17" s="2"/>
      <c r="J17" s="55">
        <v>96.030407585107852</v>
      </c>
      <c r="K17" s="61"/>
      <c r="L17" s="9"/>
      <c r="M17" s="10">
        <v>1</v>
      </c>
      <c r="N17" s="43">
        <v>0</v>
      </c>
      <c r="O17" s="10">
        <v>0</v>
      </c>
      <c r="P17" s="40">
        <v>14718.000000264001</v>
      </c>
      <c r="Q17" s="11"/>
      <c r="R17" s="4"/>
      <c r="S17" s="11">
        <f t="shared" si="0"/>
        <v>1413375.5388629695</v>
      </c>
      <c r="T17" s="11">
        <f>K17*Q17</f>
        <v>0</v>
      </c>
      <c r="U17" s="11"/>
      <c r="V17" s="2"/>
      <c r="W17" s="13">
        <f>184.17*2400</f>
        <v>442007.99999999994</v>
      </c>
      <c r="X17" s="12"/>
      <c r="Y17" s="12"/>
    </row>
    <row r="18" spans="1:25" ht="23.85" customHeight="1">
      <c r="A18" s="74"/>
      <c r="B18" s="74"/>
      <c r="C18" s="48" t="s">
        <v>53</v>
      </c>
      <c r="D18" s="5" t="s">
        <v>45</v>
      </c>
      <c r="E18" s="5" t="s">
        <v>22</v>
      </c>
      <c r="F18" s="50">
        <f t="shared" si="3"/>
        <v>212.37926883028226</v>
      </c>
      <c r="G18" s="51">
        <v>162.79</v>
      </c>
      <c r="H18" s="51">
        <f t="shared" si="2"/>
        <v>49.589268830282265</v>
      </c>
      <c r="I18" s="2"/>
      <c r="J18" s="55">
        <v>212.37926883028226</v>
      </c>
      <c r="K18" s="61"/>
      <c r="L18" s="9"/>
      <c r="M18" s="10">
        <v>1</v>
      </c>
      <c r="N18" s="43">
        <v>0</v>
      </c>
      <c r="O18" s="10">
        <v>0</v>
      </c>
      <c r="P18" s="40">
        <v>4265.9999999040001</v>
      </c>
      <c r="Q18" s="11"/>
      <c r="R18" s="4"/>
      <c r="S18" s="11">
        <f>P18*J18*M18</f>
        <v>906009.96080959577</v>
      </c>
      <c r="T18" s="11"/>
      <c r="U18" s="11"/>
      <c r="V18" s="2"/>
      <c r="W18" s="13"/>
      <c r="X18" s="12"/>
      <c r="Y18" s="12"/>
    </row>
    <row r="19" spans="1:25" ht="48.75" customHeight="1">
      <c r="A19" s="70">
        <v>2</v>
      </c>
      <c r="B19" s="70" t="s">
        <v>35</v>
      </c>
      <c r="C19" s="48" t="s">
        <v>36</v>
      </c>
      <c r="D19" s="5" t="s">
        <v>37</v>
      </c>
      <c r="E19" s="5" t="s">
        <v>22</v>
      </c>
      <c r="F19" s="50">
        <f>K19</f>
        <v>339.57312153249808</v>
      </c>
      <c r="G19" s="51">
        <v>256.52</v>
      </c>
      <c r="H19" s="51">
        <f t="shared" si="2"/>
        <v>83.053121532498096</v>
      </c>
      <c r="I19" s="2"/>
      <c r="J19" s="52">
        <v>589.26758226247307</v>
      </c>
      <c r="K19" s="58">
        <v>339.57312153249808</v>
      </c>
      <c r="L19" s="11">
        <v>416.09354729296666</v>
      </c>
      <c r="M19" s="10">
        <f>J19/K19</f>
        <v>1.7353186836552332</v>
      </c>
      <c r="N19" s="43">
        <v>1</v>
      </c>
      <c r="O19" s="10">
        <f>L19/K19</f>
        <v>1.2253429995140099</v>
      </c>
      <c r="P19" s="41">
        <v>29848.500000527998</v>
      </c>
      <c r="Q19" s="11">
        <v>39708.9</v>
      </c>
      <c r="R19" s="18">
        <v>20083.800000000003</v>
      </c>
      <c r="S19" s="11">
        <f>F19*M19*P19</f>
        <v>17588753.429472558</v>
      </c>
      <c r="T19" s="11">
        <f>F19*N19*Q19</f>
        <v>13484075.125621814</v>
      </c>
      <c r="U19" s="11">
        <f>F19*O19*R19</f>
        <v>8356739.5851224838</v>
      </c>
      <c r="V19" s="12"/>
      <c r="W19" s="13">
        <f>162.82*1.9156082*40264.8</f>
        <v>12558564.026782436</v>
      </c>
      <c r="X19" s="19">
        <f>162.82*84054.3</f>
        <v>13685721.126</v>
      </c>
      <c r="Y19" s="12">
        <f>162.82*2.072343*22347.6</f>
        <v>7540502.3249315759</v>
      </c>
    </row>
    <row r="20" spans="1:25" ht="48.75" customHeight="1">
      <c r="A20" s="70"/>
      <c r="B20" s="70"/>
      <c r="C20" s="49" t="s">
        <v>38</v>
      </c>
      <c r="D20" s="5" t="s">
        <v>37</v>
      </c>
      <c r="E20" s="5" t="s">
        <v>22</v>
      </c>
      <c r="F20" s="50">
        <f>K20</f>
        <v>348.83921090339368</v>
      </c>
      <c r="G20" s="51">
        <v>263.49</v>
      </c>
      <c r="H20" s="51">
        <f t="shared" si="2"/>
        <v>85.349210903393669</v>
      </c>
      <c r="I20" s="20"/>
      <c r="J20" s="52">
        <v>0</v>
      </c>
      <c r="K20" s="60">
        <v>348.83921090339368</v>
      </c>
      <c r="L20" s="9"/>
      <c r="M20" s="10">
        <v>0</v>
      </c>
      <c r="N20" s="43">
        <v>1</v>
      </c>
      <c r="O20" s="10">
        <v>0</v>
      </c>
      <c r="P20" s="42">
        <v>0</v>
      </c>
      <c r="Q20" s="11">
        <v>1320</v>
      </c>
      <c r="R20" s="18">
        <v>0</v>
      </c>
      <c r="S20" s="21">
        <f t="shared" ref="S20" si="4">F20*M20*P20</f>
        <v>0</v>
      </c>
      <c r="T20" s="11">
        <f>F20*N20*Q20</f>
        <v>460467.75839247968</v>
      </c>
      <c r="U20" s="11"/>
      <c r="V20" s="12"/>
      <c r="W20" s="13"/>
      <c r="X20" s="13">
        <f>100.57*1584</f>
        <v>159302.87999999998</v>
      </c>
    </row>
    <row r="21" spans="1:25" ht="38.25">
      <c r="M21" s="22"/>
      <c r="N21" s="22"/>
      <c r="O21" s="22"/>
      <c r="P21" s="23"/>
      <c r="Q21" s="29">
        <f>SUM(Q8:Q20)</f>
        <v>311707.86</v>
      </c>
      <c r="R21" s="24" t="s">
        <v>39</v>
      </c>
      <c r="S21" s="11">
        <f>S8+S9+S10+S11+S12+S13+S14+S15+S16+S17+S19+S18</f>
        <v>108056692.00901732</v>
      </c>
      <c r="T21" s="11">
        <f>SUM(T8:T20)</f>
        <v>79856847.279051423</v>
      </c>
      <c r="U21" s="11">
        <f>SUM(U8:U19)</f>
        <v>28858657.014593694</v>
      </c>
      <c r="V21" s="25"/>
      <c r="W21" s="13">
        <f>SUM(W8:W20)</f>
        <v>94696805.119205549</v>
      </c>
      <c r="X21" s="26">
        <f>SUM(X8:X20)</f>
        <v>63231398.214488737</v>
      </c>
      <c r="Y21" s="12">
        <f>SUM(Y10:Y20)</f>
        <v>25539560.485528916</v>
      </c>
    </row>
    <row r="22" spans="1:25" ht="25.5">
      <c r="H22" s="27"/>
      <c r="P22" s="28"/>
      <c r="R22" s="24" t="s">
        <v>40</v>
      </c>
      <c r="S22" s="21">
        <v>101368</v>
      </c>
      <c r="T22" s="11">
        <v>30000</v>
      </c>
      <c r="U22" s="4">
        <v>0</v>
      </c>
      <c r="V22" s="29"/>
      <c r="W22" s="13">
        <v>101368</v>
      </c>
      <c r="X22" s="12">
        <f>T22</f>
        <v>30000</v>
      </c>
      <c r="Y22" s="30">
        <f>U21-Y21</f>
        <v>3319096.5290647782</v>
      </c>
    </row>
    <row r="23" spans="1:25" ht="26.25" customHeight="1">
      <c r="L23" s="31"/>
      <c r="P23" s="28"/>
      <c r="R23" s="32" t="s">
        <v>41</v>
      </c>
      <c r="S23" s="33">
        <f>S21+S22</f>
        <v>108158060.00901732</v>
      </c>
      <c r="T23" s="33">
        <f>T21+T22</f>
        <v>79886847.279051423</v>
      </c>
      <c r="U23" s="33">
        <f>U21+U22</f>
        <v>28858657.014593694</v>
      </c>
      <c r="W23" s="12">
        <f>W21+W22</f>
        <v>94798173.119205549</v>
      </c>
      <c r="X23" s="12">
        <f>X21+X22</f>
        <v>63261398.214488737</v>
      </c>
    </row>
    <row r="24" spans="1:25" ht="38.25">
      <c r="J24" s="1" t="s">
        <v>42</v>
      </c>
      <c r="N24" s="29"/>
      <c r="R24" s="34" t="s">
        <v>54</v>
      </c>
      <c r="S24" s="35">
        <v>108158062.84</v>
      </c>
      <c r="T24" s="44">
        <v>79886856.659999996</v>
      </c>
      <c r="U24" s="35">
        <v>28858657.07</v>
      </c>
      <c r="W24" s="36">
        <f>S23-W23</f>
        <v>13359886.889811769</v>
      </c>
      <c r="X24" s="30">
        <f>T24-X23</f>
        <v>16625458.445511259</v>
      </c>
    </row>
    <row r="25" spans="1:25">
      <c r="N25" s="37"/>
      <c r="R25" s="47" t="s">
        <v>43</v>
      </c>
      <c r="S25" s="45"/>
      <c r="T25" s="45"/>
      <c r="U25" s="45"/>
      <c r="X25" s="13">
        <f>59964567-40000</f>
        <v>59924567</v>
      </c>
    </row>
    <row r="26" spans="1:25">
      <c r="R26" s="22" t="s">
        <v>44</v>
      </c>
      <c r="S26" s="38"/>
      <c r="T26" s="46"/>
      <c r="U26" s="38"/>
    </row>
    <row r="27" spans="1:25">
      <c r="S27" s="39"/>
      <c r="T27" s="29"/>
    </row>
  </sheetData>
  <mergeCells count="32">
    <mergeCell ref="A19:A20"/>
    <mergeCell ref="B19:B20"/>
    <mergeCell ref="S5:S7"/>
    <mergeCell ref="B8:B18"/>
    <mergeCell ref="A8:A18"/>
    <mergeCell ref="T5:T7"/>
    <mergeCell ref="U5:U7"/>
    <mergeCell ref="E6:E7"/>
    <mergeCell ref="F6:F7"/>
    <mergeCell ref="G6:G7"/>
    <mergeCell ref="H6:H7"/>
    <mergeCell ref="P4:R4"/>
    <mergeCell ref="S4:U4"/>
    <mergeCell ref="A5:A7"/>
    <mergeCell ref="B5:B7"/>
    <mergeCell ref="C5:C7"/>
    <mergeCell ref="D5:D7"/>
    <mergeCell ref="E5:H5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G1:H1"/>
    <mergeCell ref="G2:H2"/>
    <mergeCell ref="A3:H3"/>
    <mergeCell ref="J4:K4"/>
    <mergeCell ref="M4:O4"/>
  </mergeCells>
  <pageMargins left="0.41736111111111102" right="0.15" top="0.110416666666667" bottom="0.27986111111111101" header="0.511811023622047" footer="0.511811023622047"/>
  <pageSetup paperSize="9" scale="83" orientation="landscape" horizontalDpi="300" verticalDpi="30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3748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Григорьева И. В.</dc:creator>
  <dc:description/>
  <cp:lastModifiedBy>Спиридонкина Н.Н.</cp:lastModifiedBy>
  <cp:revision>158</cp:revision>
  <cp:lastPrinted>2025-12-01T12:46:52Z</cp:lastPrinted>
  <dcterms:created xsi:type="dcterms:W3CDTF">2017-10-20T23:41:04Z</dcterms:created>
  <dcterms:modified xsi:type="dcterms:W3CDTF">2025-12-02T06:24:01Z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